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HRE 3019\"/>
    </mc:Choice>
  </mc:AlternateContent>
  <bookViews>
    <workbookView xWindow="0" yWindow="0" windowWidth="24060" windowHeight="10035"/>
  </bookViews>
  <sheets>
    <sheet name="Body Composition 1" sheetId="1" r:id="rId1"/>
    <sheet name="Body composition 2" sheetId="4" r:id="rId2"/>
    <sheet name="Body composition 3" sheetId="5" r:id="rId3"/>
    <sheet name="Activity Multiplier" sheetId="3" state="hidden" r:id="rId4"/>
    <sheet name="DV-IDENTITY-0" sheetId="2" state="veryHidden" r:id="rId5"/>
  </sheets>
  <definedNames>
    <definedName name="Multiplier">'Activity Multiplier'!$A$2:$B$6</definedName>
    <definedName name="_xlnm.Print_Area" localSheetId="0">'Body Composition 1'!$A$1:$W$76</definedName>
    <definedName name="_xlnm.Print_Area" localSheetId="1">'Body composition 2'!$A$1:$U$75</definedName>
    <definedName name="_xlnm.Print_Area" localSheetId="2">'Body composition 3'!$A$1:$U$75</definedName>
  </definedNames>
  <calcPr calcId="152511"/>
</workbook>
</file>

<file path=xl/calcChain.xml><?xml version="1.0" encoding="utf-8"?>
<calcChain xmlns="http://schemas.openxmlformats.org/spreadsheetml/2006/main">
  <c r="Q68" i="5" l="1"/>
  <c r="H74" i="5" s="1"/>
  <c r="Q66" i="5"/>
  <c r="J61" i="5"/>
  <c r="H66" i="5" s="1"/>
  <c r="J57" i="5"/>
  <c r="J53" i="5"/>
  <c r="J49" i="5"/>
  <c r="J45" i="5"/>
  <c r="J41" i="5"/>
  <c r="J37" i="5"/>
  <c r="E19" i="5"/>
  <c r="Q68" i="4"/>
  <c r="H74" i="4" s="1"/>
  <c r="Q66" i="4"/>
  <c r="J61" i="4"/>
  <c r="H66" i="4" s="1"/>
  <c r="J57" i="4"/>
  <c r="J53" i="4"/>
  <c r="J49" i="4"/>
  <c r="J45" i="4"/>
  <c r="J41" i="4"/>
  <c r="J37" i="4"/>
  <c r="E19" i="4"/>
  <c r="H74" i="1"/>
  <c r="Q68" i="1"/>
  <c r="E19" i="1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GE6" i="2"/>
  <c r="GF6" i="2"/>
  <c r="GG6" i="2"/>
  <c r="GH6" i="2"/>
  <c r="GI6" i="2"/>
  <c r="GJ6" i="2"/>
  <c r="GK6" i="2"/>
  <c r="GL6" i="2"/>
  <c r="GM6" i="2"/>
  <c r="GN6" i="2"/>
  <c r="GO6" i="2"/>
  <c r="GP6" i="2"/>
  <c r="GQ6" i="2"/>
  <c r="GR6" i="2"/>
  <c r="GS6" i="2"/>
  <c r="GT6" i="2"/>
  <c r="GU6" i="2"/>
  <c r="GV6" i="2"/>
  <c r="GW6" i="2"/>
  <c r="GX6" i="2"/>
  <c r="GY6" i="2"/>
  <c r="GZ6" i="2"/>
  <c r="HA6" i="2"/>
  <c r="HB6" i="2"/>
  <c r="HC6" i="2"/>
  <c r="HD6" i="2"/>
  <c r="HE6" i="2"/>
  <c r="HG6" i="2"/>
  <c r="HH6" i="2"/>
  <c r="HI6" i="2"/>
  <c r="HJ6" i="2"/>
  <c r="HK6" i="2"/>
  <c r="HL6" i="2"/>
  <c r="HM6" i="2"/>
  <c r="HN6" i="2"/>
  <c r="HO6" i="2"/>
  <c r="HP6" i="2"/>
  <c r="HQ6" i="2"/>
  <c r="HR6" i="2"/>
  <c r="HS6" i="2"/>
  <c r="HT6" i="2"/>
  <c r="HU6" i="2"/>
  <c r="HV6" i="2"/>
  <c r="HY6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GE5" i="2"/>
  <c r="GF5" i="2"/>
  <c r="GG5" i="2"/>
  <c r="GH5" i="2"/>
  <c r="GI5" i="2"/>
  <c r="GJ5" i="2"/>
  <c r="GK5" i="2"/>
  <c r="GL5" i="2"/>
  <c r="GM5" i="2"/>
  <c r="GN5" i="2"/>
  <c r="GO5" i="2"/>
  <c r="GP5" i="2"/>
  <c r="GQ5" i="2"/>
  <c r="GR5" i="2"/>
  <c r="GS5" i="2"/>
  <c r="GT5" i="2"/>
  <c r="GU5" i="2"/>
  <c r="GV5" i="2"/>
  <c r="GW5" i="2"/>
  <c r="GX5" i="2"/>
  <c r="GY5" i="2"/>
  <c r="GZ5" i="2"/>
  <c r="HA5" i="2"/>
  <c r="HB5" i="2"/>
  <c r="HC5" i="2"/>
  <c r="HD5" i="2"/>
  <c r="HE5" i="2"/>
  <c r="HF5" i="2"/>
  <c r="HG5" i="2"/>
  <c r="HH5" i="2"/>
  <c r="HI5" i="2"/>
  <c r="HJ5" i="2"/>
  <c r="HK5" i="2"/>
  <c r="HL5" i="2"/>
  <c r="HM5" i="2"/>
  <c r="HN5" i="2"/>
  <c r="HO5" i="2"/>
  <c r="HP5" i="2"/>
  <c r="HQ5" i="2"/>
  <c r="HR5" i="2"/>
  <c r="HS5" i="2"/>
  <c r="HT5" i="2"/>
  <c r="HU5" i="2"/>
  <c r="HV5" i="2"/>
  <c r="HW5" i="2"/>
  <c r="HX5" i="2"/>
  <c r="HY5" i="2"/>
  <c r="HZ5" i="2"/>
  <c r="IA5" i="2"/>
  <c r="IB5" i="2"/>
  <c r="IC5" i="2"/>
  <c r="ID5" i="2"/>
  <c r="IE5" i="2"/>
  <c r="IF5" i="2"/>
  <c r="IG5" i="2"/>
  <c r="IH5" i="2"/>
  <c r="II5" i="2"/>
  <c r="IJ5" i="2"/>
  <c r="IK5" i="2"/>
  <c r="IL5" i="2"/>
  <c r="IM5" i="2"/>
  <c r="IN5" i="2"/>
  <c r="IO5" i="2"/>
  <c r="IP5" i="2"/>
  <c r="IQ5" i="2"/>
  <c r="IR5" i="2"/>
  <c r="IS5" i="2"/>
  <c r="IT5" i="2"/>
  <c r="IU5" i="2"/>
  <c r="IV5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GB4" i="2"/>
  <c r="GC4" i="2"/>
  <c r="GD4" i="2"/>
  <c r="GE4" i="2"/>
  <c r="GF4" i="2"/>
  <c r="GG4" i="2"/>
  <c r="GH4" i="2"/>
  <c r="GI4" i="2"/>
  <c r="GJ4" i="2"/>
  <c r="GK4" i="2"/>
  <c r="GL4" i="2"/>
  <c r="GM4" i="2"/>
  <c r="GN4" i="2"/>
  <c r="GO4" i="2"/>
  <c r="GP4" i="2"/>
  <c r="GQ4" i="2"/>
  <c r="GR4" i="2"/>
  <c r="GS4" i="2"/>
  <c r="GT4" i="2"/>
  <c r="GU4" i="2"/>
  <c r="GV4" i="2"/>
  <c r="GW4" i="2"/>
  <c r="GX4" i="2"/>
  <c r="GY4" i="2"/>
  <c r="GZ4" i="2"/>
  <c r="HA4" i="2"/>
  <c r="HB4" i="2"/>
  <c r="HC4" i="2"/>
  <c r="HD4" i="2"/>
  <c r="HE4" i="2"/>
  <c r="HF4" i="2"/>
  <c r="HG4" i="2"/>
  <c r="HH4" i="2"/>
  <c r="HI4" i="2"/>
  <c r="HJ4" i="2"/>
  <c r="HK4" i="2"/>
  <c r="HL4" i="2"/>
  <c r="HM4" i="2"/>
  <c r="HN4" i="2"/>
  <c r="HO4" i="2"/>
  <c r="HP4" i="2"/>
  <c r="HQ4" i="2"/>
  <c r="HR4" i="2"/>
  <c r="HS4" i="2"/>
  <c r="HT4" i="2"/>
  <c r="HU4" i="2"/>
  <c r="HV4" i="2"/>
  <c r="HW4" i="2"/>
  <c r="HX4" i="2"/>
  <c r="HY4" i="2"/>
  <c r="HZ4" i="2"/>
  <c r="IA4" i="2"/>
  <c r="IB4" i="2"/>
  <c r="IC4" i="2"/>
  <c r="ID4" i="2"/>
  <c r="IE4" i="2"/>
  <c r="IF4" i="2"/>
  <c r="IG4" i="2"/>
  <c r="IH4" i="2"/>
  <c r="II4" i="2"/>
  <c r="IJ4" i="2"/>
  <c r="IK4" i="2"/>
  <c r="IL4" i="2"/>
  <c r="IM4" i="2"/>
  <c r="IN4" i="2"/>
  <c r="IO4" i="2"/>
  <c r="IP4" i="2"/>
  <c r="IQ4" i="2"/>
  <c r="IR4" i="2"/>
  <c r="IS4" i="2"/>
  <c r="IT4" i="2"/>
  <c r="IU4" i="2"/>
  <c r="IV4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EZ3" i="2"/>
  <c r="FA3" i="2"/>
  <c r="FB3" i="2"/>
  <c r="FC3" i="2"/>
  <c r="FD3" i="2"/>
  <c r="FE3" i="2"/>
  <c r="FF3" i="2"/>
  <c r="FG3" i="2"/>
  <c r="FH3" i="2"/>
  <c r="FI3" i="2"/>
  <c r="FJ3" i="2"/>
  <c r="FK3" i="2"/>
  <c r="FL3" i="2"/>
  <c r="FM3" i="2"/>
  <c r="FN3" i="2"/>
  <c r="FO3" i="2"/>
  <c r="FP3" i="2"/>
  <c r="FQ3" i="2"/>
  <c r="FR3" i="2"/>
  <c r="FS3" i="2"/>
  <c r="FT3" i="2"/>
  <c r="FU3" i="2"/>
  <c r="FV3" i="2"/>
  <c r="FW3" i="2"/>
  <c r="FX3" i="2"/>
  <c r="FY3" i="2"/>
  <c r="FZ3" i="2"/>
  <c r="GA3" i="2"/>
  <c r="GB3" i="2"/>
  <c r="GC3" i="2"/>
  <c r="GD3" i="2"/>
  <c r="GE3" i="2"/>
  <c r="GF3" i="2"/>
  <c r="GG3" i="2"/>
  <c r="GH3" i="2"/>
  <c r="GI3" i="2"/>
  <c r="GJ3" i="2"/>
  <c r="GK3" i="2"/>
  <c r="GL3" i="2"/>
  <c r="GM3" i="2"/>
  <c r="GN3" i="2"/>
  <c r="GO3" i="2"/>
  <c r="GP3" i="2"/>
  <c r="GQ3" i="2"/>
  <c r="GR3" i="2"/>
  <c r="GS3" i="2"/>
  <c r="GT3" i="2"/>
  <c r="GU3" i="2"/>
  <c r="GV3" i="2"/>
  <c r="GW3" i="2"/>
  <c r="GX3" i="2"/>
  <c r="GY3" i="2"/>
  <c r="GZ3" i="2"/>
  <c r="HA3" i="2"/>
  <c r="HB3" i="2"/>
  <c r="HC3" i="2"/>
  <c r="HD3" i="2"/>
  <c r="HE3" i="2"/>
  <c r="HF3" i="2"/>
  <c r="HG3" i="2"/>
  <c r="HH3" i="2"/>
  <c r="HI3" i="2"/>
  <c r="HJ3" i="2"/>
  <c r="HK3" i="2"/>
  <c r="HL3" i="2"/>
  <c r="HM3" i="2"/>
  <c r="HN3" i="2"/>
  <c r="HO3" i="2"/>
  <c r="HP3" i="2"/>
  <c r="HQ3" i="2"/>
  <c r="HR3" i="2"/>
  <c r="HS3" i="2"/>
  <c r="HT3" i="2"/>
  <c r="HU3" i="2"/>
  <c r="HV3" i="2"/>
  <c r="HW3" i="2"/>
  <c r="HX3" i="2"/>
  <c r="HY3" i="2"/>
  <c r="HZ3" i="2"/>
  <c r="IA3" i="2"/>
  <c r="IB3" i="2"/>
  <c r="IC3" i="2"/>
  <c r="ID3" i="2"/>
  <c r="IE3" i="2"/>
  <c r="IF3" i="2"/>
  <c r="IG3" i="2"/>
  <c r="IH3" i="2"/>
  <c r="II3" i="2"/>
  <c r="IJ3" i="2"/>
  <c r="IK3" i="2"/>
  <c r="IL3" i="2"/>
  <c r="IM3" i="2"/>
  <c r="IN3" i="2"/>
  <c r="IO3" i="2"/>
  <c r="IP3" i="2"/>
  <c r="IQ3" i="2"/>
  <c r="IR3" i="2"/>
  <c r="IS3" i="2"/>
  <c r="IT3" i="2"/>
  <c r="IU3" i="2"/>
  <c r="IV3" i="2"/>
  <c r="A2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DB2" i="2"/>
  <c r="DC2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ED2" i="2"/>
  <c r="EE2" i="2"/>
  <c r="EF2" i="2"/>
  <c r="EG2" i="2"/>
  <c r="EH2" i="2"/>
  <c r="EI2" i="2"/>
  <c r="EJ2" i="2"/>
  <c r="EK2" i="2"/>
  <c r="EL2" i="2"/>
  <c r="EM2" i="2"/>
  <c r="EN2" i="2"/>
  <c r="EO2" i="2"/>
  <c r="EP2" i="2"/>
  <c r="EQ2" i="2"/>
  <c r="ER2" i="2"/>
  <c r="ES2" i="2"/>
  <c r="ET2" i="2"/>
  <c r="EU2" i="2"/>
  <c r="EV2" i="2"/>
  <c r="EW2" i="2"/>
  <c r="EX2" i="2"/>
  <c r="EY2" i="2"/>
  <c r="EZ2" i="2"/>
  <c r="FA2" i="2"/>
  <c r="FB2" i="2"/>
  <c r="FC2" i="2"/>
  <c r="FD2" i="2"/>
  <c r="FE2" i="2"/>
  <c r="FF2" i="2"/>
  <c r="FG2" i="2"/>
  <c r="FH2" i="2"/>
  <c r="FI2" i="2"/>
  <c r="FJ2" i="2"/>
  <c r="FK2" i="2"/>
  <c r="FL2" i="2"/>
  <c r="FM2" i="2"/>
  <c r="FN2" i="2"/>
  <c r="FO2" i="2"/>
  <c r="FP2" i="2"/>
  <c r="FQ2" i="2"/>
  <c r="FR2" i="2"/>
  <c r="FS2" i="2"/>
  <c r="FT2" i="2"/>
  <c r="FU2" i="2"/>
  <c r="FV2" i="2"/>
  <c r="FW2" i="2"/>
  <c r="FX2" i="2"/>
  <c r="FY2" i="2"/>
  <c r="FZ2" i="2"/>
  <c r="GA2" i="2"/>
  <c r="GB2" i="2"/>
  <c r="GC2" i="2"/>
  <c r="GD2" i="2"/>
  <c r="GE2" i="2"/>
  <c r="GF2" i="2"/>
  <c r="GG2" i="2"/>
  <c r="GH2" i="2"/>
  <c r="GI2" i="2"/>
  <c r="GJ2" i="2"/>
  <c r="GK2" i="2"/>
  <c r="GL2" i="2"/>
  <c r="GM2" i="2"/>
  <c r="GN2" i="2"/>
  <c r="GO2" i="2"/>
  <c r="GP2" i="2"/>
  <c r="GQ2" i="2"/>
  <c r="GR2" i="2"/>
  <c r="GS2" i="2"/>
  <c r="GT2" i="2"/>
  <c r="GU2" i="2"/>
  <c r="GV2" i="2"/>
  <c r="GW2" i="2"/>
  <c r="GX2" i="2"/>
  <c r="GY2" i="2"/>
  <c r="GZ2" i="2"/>
  <c r="HA2" i="2"/>
  <c r="HB2" i="2"/>
  <c r="HC2" i="2"/>
  <c r="HD2" i="2"/>
  <c r="HE2" i="2"/>
  <c r="HF2" i="2"/>
  <c r="HG2" i="2"/>
  <c r="HH2" i="2"/>
  <c r="HI2" i="2"/>
  <c r="HJ2" i="2"/>
  <c r="HK2" i="2"/>
  <c r="HL2" i="2"/>
  <c r="HM2" i="2"/>
  <c r="HN2" i="2"/>
  <c r="HO2" i="2"/>
  <c r="HP2" i="2"/>
  <c r="HQ2" i="2"/>
  <c r="HR2" i="2"/>
  <c r="HS2" i="2"/>
  <c r="HT2" i="2"/>
  <c r="HU2" i="2"/>
  <c r="HV2" i="2"/>
  <c r="HW2" i="2"/>
  <c r="HX2" i="2"/>
  <c r="HY2" i="2"/>
  <c r="HZ2" i="2"/>
  <c r="IA2" i="2"/>
  <c r="IB2" i="2"/>
  <c r="IC2" i="2"/>
  <c r="ID2" i="2"/>
  <c r="IE2" i="2"/>
  <c r="IF2" i="2"/>
  <c r="IG2" i="2"/>
  <c r="IH2" i="2"/>
  <c r="II2" i="2"/>
  <c r="IJ2" i="2"/>
  <c r="IK2" i="2"/>
  <c r="IL2" i="2"/>
  <c r="IM2" i="2"/>
  <c r="IN2" i="2"/>
  <c r="IO2" i="2"/>
  <c r="IP2" i="2"/>
  <c r="IQ2" i="2"/>
  <c r="IR2" i="2"/>
  <c r="IS2" i="2"/>
  <c r="IT2" i="2"/>
  <c r="IU2" i="2"/>
  <c r="IV2" i="2"/>
  <c r="A1" i="2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CA1" i="2"/>
  <c r="CB1" i="2"/>
  <c r="CC1" i="2"/>
  <c r="CD1" i="2"/>
  <c r="CE1" i="2"/>
  <c r="CF1" i="2"/>
  <c r="CG1" i="2"/>
  <c r="CH1" i="2"/>
  <c r="CI1" i="2"/>
  <c r="CJ1" i="2"/>
  <c r="CK1" i="2"/>
  <c r="CL1" i="2"/>
  <c r="CM1" i="2"/>
  <c r="CN1" i="2"/>
  <c r="CO1" i="2"/>
  <c r="CP1" i="2"/>
  <c r="CQ1" i="2"/>
  <c r="CR1" i="2"/>
  <c r="CS1" i="2"/>
  <c r="CT1" i="2"/>
  <c r="CU1" i="2"/>
  <c r="CV1" i="2"/>
  <c r="CW1" i="2"/>
  <c r="CX1" i="2"/>
  <c r="CY1" i="2"/>
  <c r="CZ1" i="2"/>
  <c r="DA1" i="2"/>
  <c r="DB1" i="2"/>
  <c r="DC1" i="2"/>
  <c r="DD1" i="2"/>
  <c r="DE1" i="2"/>
  <c r="DF1" i="2"/>
  <c r="DG1" i="2"/>
  <c r="DH1" i="2"/>
  <c r="DI1" i="2"/>
  <c r="DJ1" i="2"/>
  <c r="DK1" i="2"/>
  <c r="DL1" i="2"/>
  <c r="DM1" i="2"/>
  <c r="DN1" i="2"/>
  <c r="DO1" i="2"/>
  <c r="DP1" i="2"/>
  <c r="DQ1" i="2"/>
  <c r="DR1" i="2"/>
  <c r="DS1" i="2"/>
  <c r="DT1" i="2"/>
  <c r="DU1" i="2"/>
  <c r="DV1" i="2"/>
  <c r="DW1" i="2"/>
  <c r="DX1" i="2"/>
  <c r="DY1" i="2"/>
  <c r="DZ1" i="2"/>
  <c r="EA1" i="2"/>
  <c r="EB1" i="2"/>
  <c r="EC1" i="2"/>
  <c r="ED1" i="2"/>
  <c r="EE1" i="2"/>
  <c r="EF1" i="2"/>
  <c r="EG1" i="2"/>
  <c r="EH1" i="2"/>
  <c r="EI1" i="2"/>
  <c r="EJ1" i="2"/>
  <c r="EK1" i="2"/>
  <c r="EL1" i="2"/>
  <c r="EM1" i="2"/>
  <c r="EN1" i="2"/>
  <c r="EO1" i="2"/>
  <c r="EP1" i="2"/>
  <c r="EQ1" i="2"/>
  <c r="ER1" i="2"/>
  <c r="ES1" i="2"/>
  <c r="ET1" i="2"/>
  <c r="EU1" i="2"/>
  <c r="EV1" i="2"/>
  <c r="EW1" i="2"/>
  <c r="EX1" i="2"/>
  <c r="EY1" i="2"/>
  <c r="EZ1" i="2"/>
  <c r="FA1" i="2"/>
  <c r="FB1" i="2"/>
  <c r="FC1" i="2"/>
  <c r="FD1" i="2"/>
  <c r="FE1" i="2"/>
  <c r="FF1" i="2"/>
  <c r="FG1" i="2"/>
  <c r="FH1" i="2"/>
  <c r="FI1" i="2"/>
  <c r="FJ1" i="2"/>
  <c r="FK1" i="2"/>
  <c r="FL1" i="2"/>
  <c r="FM1" i="2"/>
  <c r="FN1" i="2"/>
  <c r="FO1" i="2"/>
  <c r="FP1" i="2"/>
  <c r="FQ1" i="2"/>
  <c r="FR1" i="2"/>
  <c r="FS1" i="2"/>
  <c r="FT1" i="2"/>
  <c r="FU1" i="2"/>
  <c r="FV1" i="2"/>
  <c r="FW1" i="2"/>
  <c r="FX1" i="2"/>
  <c r="FY1" i="2"/>
  <c r="FZ1" i="2"/>
  <c r="GA1" i="2"/>
  <c r="GB1" i="2"/>
  <c r="GC1" i="2"/>
  <c r="GD1" i="2"/>
  <c r="GE1" i="2"/>
  <c r="GF1" i="2"/>
  <c r="GG1" i="2"/>
  <c r="GH1" i="2"/>
  <c r="GI1" i="2"/>
  <c r="GJ1" i="2"/>
  <c r="GK1" i="2"/>
  <c r="GL1" i="2"/>
  <c r="GM1" i="2"/>
  <c r="GN1" i="2"/>
  <c r="GO1" i="2"/>
  <c r="GP1" i="2"/>
  <c r="GQ1" i="2"/>
  <c r="GR1" i="2"/>
  <c r="GS1" i="2"/>
  <c r="GT1" i="2"/>
  <c r="GU1" i="2"/>
  <c r="GV1" i="2"/>
  <c r="GW1" i="2"/>
  <c r="GX1" i="2"/>
  <c r="GY1" i="2"/>
  <c r="GZ1" i="2"/>
  <c r="HA1" i="2"/>
  <c r="HB1" i="2"/>
  <c r="HC1" i="2"/>
  <c r="HD1" i="2"/>
  <c r="HE1" i="2"/>
  <c r="HF1" i="2"/>
  <c r="HG1" i="2"/>
  <c r="HH1" i="2"/>
  <c r="HI1" i="2"/>
  <c r="HJ1" i="2"/>
  <c r="HK1" i="2"/>
  <c r="HL1" i="2"/>
  <c r="HM1" i="2"/>
  <c r="HN1" i="2"/>
  <c r="HO1" i="2"/>
  <c r="HP1" i="2"/>
  <c r="HQ1" i="2"/>
  <c r="HR1" i="2"/>
  <c r="HS1" i="2"/>
  <c r="HT1" i="2"/>
  <c r="HU1" i="2"/>
  <c r="HV1" i="2"/>
  <c r="HW1" i="2"/>
  <c r="HX1" i="2"/>
  <c r="HY1" i="2"/>
  <c r="HZ1" i="2"/>
  <c r="IA1" i="2"/>
  <c r="IB1" i="2"/>
  <c r="IC1" i="2"/>
  <c r="ID1" i="2"/>
  <c r="IE1" i="2"/>
  <c r="IF1" i="2"/>
  <c r="IG1" i="2"/>
  <c r="IH1" i="2"/>
  <c r="II1" i="2"/>
  <c r="IJ1" i="2"/>
  <c r="IK1" i="2"/>
  <c r="IL1" i="2"/>
  <c r="IM1" i="2"/>
  <c r="IN1" i="2"/>
  <c r="IO1" i="2"/>
  <c r="IP1" i="2"/>
  <c r="IQ1" i="2"/>
  <c r="IR1" i="2"/>
  <c r="IS1" i="2"/>
  <c r="IT1" i="2"/>
  <c r="IU1" i="2"/>
  <c r="IV1" i="2"/>
  <c r="J37" i="1"/>
  <c r="J41" i="1"/>
  <c r="J45" i="1"/>
  <c r="J49" i="1"/>
  <c r="J53" i="1"/>
  <c r="J57" i="1"/>
  <c r="J61" i="1"/>
  <c r="Q66" i="1"/>
  <c r="H68" i="5" l="1"/>
  <c r="H70" i="5" s="1"/>
  <c r="K8" i="5"/>
  <c r="T75" i="5"/>
  <c r="R75" i="5"/>
  <c r="T74" i="5"/>
  <c r="R74" i="5"/>
  <c r="K8" i="4"/>
  <c r="H68" i="4"/>
  <c r="H70" i="4" s="1"/>
  <c r="T75" i="4"/>
  <c r="R75" i="4"/>
  <c r="T74" i="4"/>
  <c r="R74" i="4"/>
  <c r="T75" i="1"/>
  <c r="R74" i="1"/>
  <c r="T74" i="1"/>
  <c r="R75" i="1"/>
  <c r="H66" i="1"/>
  <c r="H68" i="1" s="1"/>
  <c r="H70" i="1" s="1"/>
  <c r="HF6" i="2"/>
  <c r="K8" i="1" l="1"/>
</calcChain>
</file>

<file path=xl/comments1.xml><?xml version="1.0" encoding="utf-8"?>
<comments xmlns="http://schemas.openxmlformats.org/spreadsheetml/2006/main">
  <authors>
    <author>Joseph L .Patt III</author>
    <author>Joseph L. Patt III</author>
  </authors>
  <commentList>
    <comment ref="B36" authorId="0" shapeId="0">
      <text>
        <r>
          <rPr>
            <sz val="9"/>
            <color indexed="81"/>
            <rFont val="Arial Narrow"/>
            <family val="2"/>
          </rPr>
          <t>Three diagonal skinfold measurements taken half the distance between the nipple and the upper portion of the pectoral (chest) muscle at the armpit.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sz val="9"/>
            <color indexed="81"/>
            <rFont val="Arial Narrow"/>
            <family val="2"/>
          </rPr>
          <t>Three vertical skinfold measurements taken one inch to the right of the umbilicus (navel).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sz val="9"/>
            <color indexed="81"/>
            <rFont val="Arial Narrow"/>
            <family val="2"/>
          </rPr>
          <t xml:space="preserve">Three vertical skinfold measurements taken half the distance between the patella (knee cap) and the inguinal crease (the skin crease between the thigh and the hip).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sz val="9"/>
            <color indexed="81"/>
            <rFont val="Arial Narrow"/>
            <family val="2"/>
          </rPr>
          <t>Three vertical skinfold measurements taken half the distance between the acromion process (prominent bone at top of shoulder) and the olecranon process (elbow bone).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2" authorId="0" shapeId="0">
      <text>
        <r>
          <rPr>
            <sz val="9"/>
            <color indexed="81"/>
            <rFont val="Arial Narrow"/>
            <family val="2"/>
          </rPr>
          <t>Three diagonal skinfold measurements taken on the upper back, just below the inferior (lower) angle of scapula (shoulder blade) at a 45-degree angle approximately parallel to the inferior angle of the scapula.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 shapeId="0">
      <text>
        <r>
          <rPr>
            <sz val="9"/>
            <color indexed="81"/>
            <rFont val="Arial Narrow"/>
            <family val="2"/>
          </rPr>
          <t xml:space="preserve">Three diagonal skinfold measurements taken above the superior anterior iliac crest (the area above the upper, forward protrusion of the hip bone).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0" authorId="0" shapeId="0">
      <text>
        <r>
          <rPr>
            <sz val="9"/>
            <color indexed="81"/>
            <rFont val="Arial Narrow"/>
            <family val="2"/>
          </rPr>
          <t xml:space="preserve">Three vertical skinfold measurements taken on the midaxillary line (a vertical line descending directly from the center of the armpit) at the level of the nipple.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6" authorId="1" shapeId="0">
      <text>
        <r>
          <rPr>
            <sz val="8"/>
            <color indexed="81"/>
            <rFont val="Tahoma"/>
            <family val="2"/>
          </rPr>
          <t>Jackson - Pollock Seven Point Skinfold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6" authorId="1" shapeId="0">
      <text>
        <r>
          <rPr>
            <sz val="8"/>
            <color indexed="81"/>
            <rFont val="Tahoma"/>
            <family val="2"/>
          </rPr>
          <t>BMI = 703 * weight/height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K68" authorId="1" shapeId="0">
      <text>
        <r>
          <rPr>
            <sz val="8"/>
            <color indexed="81"/>
            <rFont val="Tahoma"/>
            <family val="2"/>
          </rPr>
          <t>Katch-McArdle formula (BMR based on lean body weight)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0" authorId="1" shapeId="0">
      <text>
        <r>
          <rPr>
            <sz val="8"/>
            <color indexed="81"/>
            <rFont val="Tahoma"/>
            <family val="2"/>
          </rPr>
          <t>total Daily Energy Expenditure = Basal Metabolic Rate multiplied by a factor based on activity level.</t>
        </r>
      </text>
    </comment>
  </commentList>
</comments>
</file>

<file path=xl/comments2.xml><?xml version="1.0" encoding="utf-8"?>
<comments xmlns="http://schemas.openxmlformats.org/spreadsheetml/2006/main">
  <authors>
    <author>Joseph L .Patt III</author>
    <author>Joseph L. Patt III</author>
  </authors>
  <commentList>
    <comment ref="B36" authorId="0" shapeId="0">
      <text>
        <r>
          <rPr>
            <sz val="9"/>
            <color indexed="81"/>
            <rFont val="Arial Narrow"/>
            <family val="2"/>
          </rPr>
          <t>Three diagonal skinfold measurements taken half the distance between the nipple and the upper portion of the pectoral (chest) muscle at the armpit.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sz val="9"/>
            <color indexed="81"/>
            <rFont val="Arial Narrow"/>
            <family val="2"/>
          </rPr>
          <t>Three vertical skinfold measurements taken one inch to the right of the umbilicus (navel).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sz val="9"/>
            <color indexed="81"/>
            <rFont val="Arial Narrow"/>
            <family val="2"/>
          </rPr>
          <t xml:space="preserve">Three vertical skinfold measurements taken half the distance between the patella (knee cap) and the inguinal crease (the skin crease between the thigh and the hip).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sz val="9"/>
            <color indexed="81"/>
            <rFont val="Arial Narrow"/>
            <family val="2"/>
          </rPr>
          <t>Three vertical skinfold measurements taken half the distance between the acromion process (prominent bone at top of shoulder) and the olecranon process (elbow bone).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2" authorId="0" shapeId="0">
      <text>
        <r>
          <rPr>
            <sz val="9"/>
            <color indexed="81"/>
            <rFont val="Arial Narrow"/>
            <family val="2"/>
          </rPr>
          <t>Three diagonal skinfold measurements taken on the upper back, just below the inferior (lower) angle of scapula (shoulder blade) at a 45-degree angle approximately parallel to the inferior angle of the scapula.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 shapeId="0">
      <text>
        <r>
          <rPr>
            <sz val="9"/>
            <color indexed="81"/>
            <rFont val="Arial Narrow"/>
            <family val="2"/>
          </rPr>
          <t xml:space="preserve">Three diagonal skinfold measurements taken above the superior anterior iliac crest (the area above the upper, forward protrusion of the hip bone).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0" authorId="0" shapeId="0">
      <text>
        <r>
          <rPr>
            <sz val="9"/>
            <color indexed="81"/>
            <rFont val="Arial Narrow"/>
            <family val="2"/>
          </rPr>
          <t xml:space="preserve">Three vertical skinfold measurements taken on the midaxillary line (a vertical line descending directly from the center of the armpit) at the level of the nipple.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6" authorId="1" shapeId="0">
      <text>
        <r>
          <rPr>
            <sz val="8"/>
            <color indexed="81"/>
            <rFont val="Tahoma"/>
            <family val="2"/>
          </rPr>
          <t>Jackson - Pollock Seven Point Skinfold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6" authorId="1" shapeId="0">
      <text>
        <r>
          <rPr>
            <sz val="8"/>
            <color indexed="81"/>
            <rFont val="Tahoma"/>
            <family val="2"/>
          </rPr>
          <t>BMI = 703 * weight/height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K68" authorId="1" shapeId="0">
      <text>
        <r>
          <rPr>
            <sz val="8"/>
            <color indexed="81"/>
            <rFont val="Tahoma"/>
            <family val="2"/>
          </rPr>
          <t>Katch-McArdle formula (BMR based on lean body weight)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0" authorId="1" shapeId="0">
      <text>
        <r>
          <rPr>
            <sz val="8"/>
            <color indexed="81"/>
            <rFont val="Tahoma"/>
            <family val="2"/>
          </rPr>
          <t>total Daily Energy Expenditure = Basal Metabolic Rate multiplied by a factor based on activity level.</t>
        </r>
      </text>
    </comment>
  </commentList>
</comments>
</file>

<file path=xl/comments3.xml><?xml version="1.0" encoding="utf-8"?>
<comments xmlns="http://schemas.openxmlformats.org/spreadsheetml/2006/main">
  <authors>
    <author>Joseph L .Patt III</author>
    <author>Joseph L. Patt III</author>
  </authors>
  <commentList>
    <comment ref="B36" authorId="0" shapeId="0">
      <text>
        <r>
          <rPr>
            <sz val="9"/>
            <color indexed="81"/>
            <rFont val="Arial Narrow"/>
            <family val="2"/>
          </rPr>
          <t>Three diagonal skinfold measurements taken half the distance between the nipple and the upper portion of the pectoral (chest) muscle at the armpit.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sz val="9"/>
            <color indexed="81"/>
            <rFont val="Arial Narrow"/>
            <family val="2"/>
          </rPr>
          <t>Three vertical skinfold measurements taken one inch to the right of the umbilicus (navel).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sz val="9"/>
            <color indexed="81"/>
            <rFont val="Arial Narrow"/>
            <family val="2"/>
          </rPr>
          <t xml:space="preserve">Three vertical skinfold measurements taken half the distance between the patella (knee cap) and the inguinal crease (the skin crease between the thigh and the hip).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sz val="9"/>
            <color indexed="81"/>
            <rFont val="Arial Narrow"/>
            <family val="2"/>
          </rPr>
          <t>Three vertical skinfold measurements taken half the distance between the acromion process (prominent bone at top of shoulder) and the olecranon process (elbow bone).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2" authorId="0" shapeId="0">
      <text>
        <r>
          <rPr>
            <sz val="9"/>
            <color indexed="81"/>
            <rFont val="Arial Narrow"/>
            <family val="2"/>
          </rPr>
          <t>Three diagonal skinfold measurements taken on the upper back, just below the inferior (lower) angle of scapula (shoulder blade) at a 45-degree angle approximately parallel to the inferior angle of the scapula.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 shapeId="0">
      <text>
        <r>
          <rPr>
            <sz val="9"/>
            <color indexed="81"/>
            <rFont val="Arial Narrow"/>
            <family val="2"/>
          </rPr>
          <t xml:space="preserve">Three diagonal skinfold measurements taken above the superior anterior iliac crest (the area above the upper, forward protrusion of the hip bone).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0" authorId="0" shapeId="0">
      <text>
        <r>
          <rPr>
            <sz val="9"/>
            <color indexed="81"/>
            <rFont val="Arial Narrow"/>
            <family val="2"/>
          </rPr>
          <t xml:space="preserve">Three vertical skinfold measurements taken on the midaxillary line (a vertical line descending directly from the center of the armpit) at the level of the nipple.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6" authorId="1" shapeId="0">
      <text>
        <r>
          <rPr>
            <sz val="8"/>
            <color indexed="81"/>
            <rFont val="Tahoma"/>
            <family val="2"/>
          </rPr>
          <t>Jackson - Pollock Seven Point Skinfold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6" authorId="1" shapeId="0">
      <text>
        <r>
          <rPr>
            <sz val="8"/>
            <color indexed="81"/>
            <rFont val="Tahoma"/>
            <family val="2"/>
          </rPr>
          <t>BMI = 703 * weight/height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K68" authorId="1" shapeId="0">
      <text>
        <r>
          <rPr>
            <sz val="8"/>
            <color indexed="81"/>
            <rFont val="Tahoma"/>
            <family val="2"/>
          </rPr>
          <t>Katch-McArdle formula (BMR based on lean body weight)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0" authorId="1" shapeId="0">
      <text>
        <r>
          <rPr>
            <sz val="8"/>
            <color indexed="81"/>
            <rFont val="Tahoma"/>
            <family val="2"/>
          </rPr>
          <t>total Daily Energy Expenditure = Basal Metabolic Rate multiplied by a factor based on activity level.</t>
        </r>
      </text>
    </comment>
  </commentList>
</comments>
</file>

<file path=xl/sharedStrings.xml><?xml version="1.0" encoding="utf-8"?>
<sst xmlns="http://schemas.openxmlformats.org/spreadsheetml/2006/main" count="180" uniqueCount="54">
  <si>
    <t>Date:</t>
  </si>
  <si>
    <t>Resting HR</t>
  </si>
  <si>
    <t>bpm</t>
  </si>
  <si>
    <t>Weight:</t>
  </si>
  <si>
    <t>lbs</t>
  </si>
  <si>
    <t>Age:</t>
  </si>
  <si>
    <t>yr</t>
  </si>
  <si>
    <t>Height:</t>
  </si>
  <si>
    <t>in</t>
  </si>
  <si>
    <t>LBM</t>
  </si>
  <si>
    <t>Skinfold measurements:</t>
  </si>
  <si>
    <t>Pectoral</t>
  </si>
  <si>
    <t>Abdominal</t>
  </si>
  <si>
    <t>Thigh</t>
  </si>
  <si>
    <t>Tricep:</t>
  </si>
  <si>
    <t>Subscapular</t>
  </si>
  <si>
    <t>Suprailiac</t>
  </si>
  <si>
    <t>Axilla</t>
  </si>
  <si>
    <t>Body Fat Percentage:</t>
  </si>
  <si>
    <t>%</t>
  </si>
  <si>
    <t>Body Mass Index:</t>
  </si>
  <si>
    <t>Basal Metabolic Rate:</t>
  </si>
  <si>
    <r>
      <t>Millimeters(</t>
    </r>
    <r>
      <rPr>
        <i/>
        <sz val="10"/>
        <color indexed="8"/>
        <rFont val="Times New Roman"/>
        <family val="1"/>
      </rPr>
      <t>mm</t>
    </r>
    <r>
      <rPr>
        <sz val="10"/>
        <color indexed="8"/>
        <rFont val="Arial"/>
        <family val="2"/>
      </rPr>
      <t>)</t>
    </r>
  </si>
  <si>
    <t>Body Measurements (inches)</t>
  </si>
  <si>
    <t>Waist</t>
  </si>
  <si>
    <t>Hips</t>
  </si>
  <si>
    <t>Biceps (Flexed)</t>
  </si>
  <si>
    <t>Legs Mid Thigh</t>
  </si>
  <si>
    <t>Left</t>
  </si>
  <si>
    <t>Right</t>
  </si>
  <si>
    <t>AAAAAGO+fuY=</t>
  </si>
  <si>
    <t>AAAAAGO+fuc=</t>
  </si>
  <si>
    <t>Abdomen</t>
  </si>
  <si>
    <t>Chest</t>
  </si>
  <si>
    <t>Shoulders</t>
  </si>
  <si>
    <t>Waist:Hip</t>
  </si>
  <si>
    <t xml:space="preserve">Name: </t>
  </si>
  <si>
    <t>Lean Mass:</t>
  </si>
  <si>
    <t>kcal</t>
  </si>
  <si>
    <t>Fat Mass:</t>
  </si>
  <si>
    <t>Body Composition Reference Ranges</t>
  </si>
  <si>
    <t>Activity Level</t>
  </si>
  <si>
    <t>Little or no activity</t>
  </si>
  <si>
    <t>Light exercise (1-3x/week)</t>
  </si>
  <si>
    <t>Moderate exercise (3-5 days/week)</t>
  </si>
  <si>
    <t>Heavy exercise (6-7 days/week)</t>
  </si>
  <si>
    <t>Very heavy exercise (physical job or exercise 2x/day)</t>
  </si>
  <si>
    <t>Maintenance kcal</t>
  </si>
  <si>
    <t>Column1</t>
  </si>
  <si>
    <t>Column2</t>
  </si>
  <si>
    <t>Body Recomposition kcal Targets</t>
  </si>
  <si>
    <t>For weight loss</t>
  </si>
  <si>
    <t>For lean mass gain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</si>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</sst>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9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i/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81"/>
      <name val="Arial Narrow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993300"/>
      <name val="Verdana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5" fontId="2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4" fillId="0" borderId="0" xfId="1"/>
    <xf numFmtId="0" fontId="7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/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/>
    <xf numFmtId="1" fontId="2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17" fillId="0" borderId="0" xfId="0" applyFont="1" applyAlignment="1">
      <alignment horizontal="center"/>
    </xf>
    <xf numFmtId="0" fontId="15" fillId="0" borderId="0" xfId="0" applyFont="1" applyBorder="1" applyAlignment="1"/>
    <xf numFmtId="1" fontId="2" fillId="0" borderId="3" xfId="0" applyNumberFormat="1" applyFont="1" applyBorder="1" applyAlignment="1">
      <alignment horizontal="center"/>
    </xf>
    <xf numFmtId="165" fontId="13" fillId="0" borderId="15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3" fillId="0" borderId="15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protection locked="0"/>
    </xf>
    <xf numFmtId="1" fontId="2" fillId="0" borderId="3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protection locked="0"/>
    </xf>
    <xf numFmtId="1" fontId="2" fillId="0" borderId="15" xfId="0" applyNumberFormat="1" applyFont="1" applyBorder="1" applyAlignment="1" applyProtection="1">
      <alignment horizontal="left"/>
      <protection locked="0"/>
    </xf>
    <xf numFmtId="0" fontId="18" fillId="0" borderId="0" xfId="0" applyFont="1" applyAlignment="1"/>
    <xf numFmtId="2" fontId="2" fillId="0" borderId="15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42</xdr:row>
      <xdr:rowOff>28575</xdr:rowOff>
    </xdr:from>
    <xdr:to>
      <xdr:col>19</xdr:col>
      <xdr:colOff>295275</xdr:colOff>
      <xdr:row>51</xdr:row>
      <xdr:rowOff>142875</xdr:rowOff>
    </xdr:to>
    <xdr:pic>
      <xdr:nvPicPr>
        <xdr:cNvPr id="1096" name="Picture 5" descr="http://www.4hourlife.com/wp-content/uploads/2011/04/Essential-Fat-Tabl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543675"/>
          <a:ext cx="28765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66674</xdr:rowOff>
    </xdr:from>
    <xdr:to>
      <xdr:col>17</xdr:col>
      <xdr:colOff>142875</xdr:colOff>
      <xdr:row>30</xdr:row>
      <xdr:rowOff>32815</xdr:rowOff>
    </xdr:to>
    <xdr:pic>
      <xdr:nvPicPr>
        <xdr:cNvPr id="8" name="irc_mi" descr="http://timeforchangepersonaltraining.com/wp-content/uploads/2012/12/waist_to_hip_ratio_chart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49"/>
          <a:ext cx="4924425" cy="1423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42</xdr:row>
      <xdr:rowOff>28575</xdr:rowOff>
    </xdr:from>
    <xdr:to>
      <xdr:col>19</xdr:col>
      <xdr:colOff>295275</xdr:colOff>
      <xdr:row>51</xdr:row>
      <xdr:rowOff>142875</xdr:rowOff>
    </xdr:to>
    <xdr:pic>
      <xdr:nvPicPr>
        <xdr:cNvPr id="2" name="Picture 5" descr="http://www.4hourlife.com/wp-content/uploads/2011/04/Essential-Fat-Tabl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6543675"/>
          <a:ext cx="28765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66674</xdr:rowOff>
    </xdr:from>
    <xdr:to>
      <xdr:col>17</xdr:col>
      <xdr:colOff>142875</xdr:colOff>
      <xdr:row>30</xdr:row>
      <xdr:rowOff>32815</xdr:rowOff>
    </xdr:to>
    <xdr:pic>
      <xdr:nvPicPr>
        <xdr:cNvPr id="3" name="irc_mi" descr="http://timeforchangepersonaltraining.com/wp-content/uploads/2012/12/waist_to_hip_ratio_chart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49"/>
          <a:ext cx="4924425" cy="1423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42</xdr:row>
      <xdr:rowOff>28575</xdr:rowOff>
    </xdr:from>
    <xdr:to>
      <xdr:col>19</xdr:col>
      <xdr:colOff>295275</xdr:colOff>
      <xdr:row>51</xdr:row>
      <xdr:rowOff>142875</xdr:rowOff>
    </xdr:to>
    <xdr:pic>
      <xdr:nvPicPr>
        <xdr:cNvPr id="2" name="Picture 5" descr="http://www.4hourlife.com/wp-content/uploads/2011/04/Essential-Fat-Tabl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6543675"/>
          <a:ext cx="28765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66674</xdr:rowOff>
    </xdr:from>
    <xdr:to>
      <xdr:col>17</xdr:col>
      <xdr:colOff>142875</xdr:colOff>
      <xdr:row>30</xdr:row>
      <xdr:rowOff>32815</xdr:rowOff>
    </xdr:to>
    <xdr:pic>
      <xdr:nvPicPr>
        <xdr:cNvPr id="3" name="irc_mi" descr="http://timeforchangepersonaltraining.com/wp-content/uploads/2012/12/waist_to_hip_ratio_chart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49"/>
          <a:ext cx="4924425" cy="1423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Activity" displayName="Activity" ref="A1:B6" totalsRowShown="0">
  <autoFilter ref="A1:B6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89"/>
  <sheetViews>
    <sheetView showGridLines="0" tabSelected="1" zoomScaleNormal="100" workbookViewId="0">
      <selection activeCell="B61" sqref="B61:C61"/>
    </sheetView>
  </sheetViews>
  <sheetFormatPr defaultRowHeight="12.75" x14ac:dyDescent="0.2"/>
  <cols>
    <col min="1" max="1" width="1.7109375" customWidth="1"/>
    <col min="2" max="3" width="4.7109375" customWidth="1"/>
    <col min="4" max="4" width="1.7109375" customWidth="1"/>
    <col min="5" max="5" width="5.42578125" customWidth="1"/>
    <col min="6" max="6" width="5.28515625" customWidth="1"/>
    <col min="7" max="7" width="1.7109375" customWidth="1"/>
    <col min="8" max="8" width="7.42578125" customWidth="1"/>
    <col min="9" max="9" width="4.7109375" customWidth="1"/>
    <col min="10" max="10" width="1.7109375" customWidth="1"/>
    <col min="11" max="11" width="4.7109375" customWidth="1"/>
    <col min="12" max="12" width="1.7109375" customWidth="1"/>
    <col min="13" max="13" width="2.28515625" customWidth="1"/>
    <col min="14" max="14" width="4.7109375" customWidth="1"/>
    <col min="15" max="15" width="7.85546875" customWidth="1"/>
    <col min="16" max="16" width="4.42578125" customWidth="1"/>
    <col min="17" max="17" width="6.85546875" customWidth="1"/>
    <col min="18" max="18" width="6.140625" customWidth="1"/>
    <col min="19" max="19" width="4.5703125" customWidth="1"/>
    <col min="20" max="20" width="6.42578125" customWidth="1"/>
    <col min="22" max="22" width="8.140625" customWidth="1"/>
    <col min="23" max="23" width="1.7109375" customWidth="1"/>
  </cols>
  <sheetData>
    <row r="1" spans="1:23" ht="13.5" thickBot="1" x14ac:dyDescent="0.25"/>
    <row r="2" spans="1:23" ht="13.5" thickBot="1" x14ac:dyDescent="0.25">
      <c r="B2" s="45" t="s">
        <v>36</v>
      </c>
      <c r="C2" s="45"/>
      <c r="D2" s="48"/>
      <c r="E2" s="68"/>
      <c r="F2" s="68"/>
      <c r="G2" s="68"/>
      <c r="H2" s="68"/>
      <c r="I2" s="68"/>
      <c r="J2" s="68"/>
      <c r="K2" s="68"/>
      <c r="L2" s="68"/>
      <c r="M2" s="68"/>
    </row>
    <row r="3" spans="1:23" ht="8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thickBot="1" x14ac:dyDescent="0.25">
      <c r="A4" s="1"/>
      <c r="B4" s="31" t="s">
        <v>0</v>
      </c>
      <c r="C4" s="31"/>
      <c r="D4" s="1"/>
      <c r="E4" s="69"/>
      <c r="F4" s="70"/>
      <c r="G4" s="1"/>
      <c r="H4" s="38" t="s">
        <v>1</v>
      </c>
      <c r="I4" s="38"/>
      <c r="J4" s="1"/>
      <c r="K4" s="71"/>
      <c r="L4" s="34" t="s">
        <v>2</v>
      </c>
      <c r="M4" s="35"/>
      <c r="N4" s="1"/>
      <c r="O4" s="1"/>
      <c r="P4" s="37"/>
      <c r="Q4" s="37"/>
      <c r="R4" s="37"/>
      <c r="S4" s="37"/>
      <c r="T4" s="37"/>
      <c r="U4" s="37"/>
      <c r="V4" s="1"/>
      <c r="W4" s="1"/>
    </row>
    <row r="5" spans="1:23" ht="8.1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7"/>
      <c r="Q5" s="37"/>
      <c r="R5" s="37"/>
      <c r="S5" s="37"/>
      <c r="T5" s="37"/>
      <c r="U5" s="37"/>
      <c r="V5" s="1"/>
      <c r="W5" s="1"/>
    </row>
    <row r="6" spans="1:23" ht="13.5" thickBot="1" x14ac:dyDescent="0.25">
      <c r="A6" s="1"/>
      <c r="B6" s="31" t="s">
        <v>3</v>
      </c>
      <c r="C6" s="31"/>
      <c r="D6" s="1"/>
      <c r="E6" s="71"/>
      <c r="F6" s="3" t="s">
        <v>4</v>
      </c>
      <c r="G6" s="1"/>
      <c r="H6" s="31" t="s">
        <v>5</v>
      </c>
      <c r="I6" s="31"/>
      <c r="J6" s="1"/>
      <c r="K6" s="71"/>
      <c r="L6" s="34" t="s">
        <v>6</v>
      </c>
      <c r="M6" s="35"/>
      <c r="N6" s="1"/>
      <c r="O6" s="1"/>
      <c r="P6" s="37"/>
      <c r="Q6" s="37"/>
      <c r="R6" s="37"/>
      <c r="S6" s="37"/>
      <c r="T6" s="37"/>
      <c r="U6" s="37"/>
      <c r="V6" s="1"/>
      <c r="W6" s="1"/>
    </row>
    <row r="7" spans="1:23" ht="8.1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 x14ac:dyDescent="0.25">
      <c r="A8" s="1"/>
      <c r="B8" s="31" t="s">
        <v>7</v>
      </c>
      <c r="C8" s="31"/>
      <c r="D8" s="1"/>
      <c r="E8" s="71"/>
      <c r="F8" s="3" t="s">
        <v>8</v>
      </c>
      <c r="G8" s="1"/>
      <c r="H8" s="31" t="s">
        <v>9</v>
      </c>
      <c r="I8" s="31"/>
      <c r="J8" s="1"/>
      <c r="K8" s="72">
        <f>E6*(100-H66)*0.01</f>
        <v>0</v>
      </c>
      <c r="L8" s="28" t="s">
        <v>4</v>
      </c>
      <c r="M8" s="29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 x14ac:dyDescent="0.25">
      <c r="A9" s="1"/>
      <c r="B9" s="2"/>
      <c r="C9" s="2"/>
      <c r="D9" s="1"/>
      <c r="E9" s="41"/>
      <c r="F9" s="42"/>
      <c r="G9" s="1"/>
      <c r="H9" s="2"/>
      <c r="I9" s="2"/>
      <c r="J9" s="1"/>
      <c r="K9" s="43"/>
      <c r="L9" s="44"/>
      <c r="M9" s="44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1"/>
      <c r="U10" s="1"/>
      <c r="V10" s="1"/>
      <c r="W10" s="1"/>
    </row>
    <row r="11" spans="1:23" x14ac:dyDescent="0.2">
      <c r="A11" s="7"/>
      <c r="B11" s="30" t="s">
        <v>23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0"/>
      <c r="N11" s="30" t="s">
        <v>28</v>
      </c>
      <c r="O11" s="30"/>
      <c r="P11" s="10"/>
      <c r="Q11" s="30" t="s">
        <v>29</v>
      </c>
      <c r="R11" s="30"/>
      <c r="S11" s="11"/>
      <c r="T11" s="1"/>
      <c r="U11" s="1"/>
      <c r="V11" s="1"/>
      <c r="W11" s="1"/>
    </row>
    <row r="12" spans="1:23" ht="13.5" thickBot="1" x14ac:dyDescent="0.25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"/>
      <c r="U12" s="1"/>
      <c r="V12" s="1"/>
      <c r="W12" s="1"/>
    </row>
    <row r="13" spans="1:23" ht="13.5" thickBot="1" x14ac:dyDescent="0.25">
      <c r="A13" s="7"/>
      <c r="B13" s="30" t="s">
        <v>24</v>
      </c>
      <c r="C13" s="30"/>
      <c r="D13" s="10"/>
      <c r="E13" s="73"/>
      <c r="F13" s="70"/>
      <c r="G13" s="10"/>
      <c r="H13" s="30" t="s">
        <v>26</v>
      </c>
      <c r="I13" s="30"/>
      <c r="J13" s="30"/>
      <c r="K13" s="30"/>
      <c r="L13" s="30"/>
      <c r="M13" s="10"/>
      <c r="N13" s="73"/>
      <c r="O13" s="70"/>
      <c r="P13" s="10"/>
      <c r="Q13" s="73"/>
      <c r="R13" s="70"/>
      <c r="S13" s="11"/>
      <c r="T13" s="1"/>
      <c r="U13" s="1"/>
      <c r="V13" s="1"/>
      <c r="W13" s="1"/>
    </row>
    <row r="14" spans="1:23" ht="13.5" thickBot="1" x14ac:dyDescent="0.2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"/>
      <c r="U14" s="1"/>
      <c r="V14" s="1"/>
      <c r="W14" s="1"/>
    </row>
    <row r="15" spans="1:23" ht="13.5" thickBot="1" x14ac:dyDescent="0.25">
      <c r="A15" s="7"/>
      <c r="B15" s="40" t="s">
        <v>32</v>
      </c>
      <c r="C15" s="40"/>
      <c r="E15" s="74"/>
      <c r="F15" s="75"/>
      <c r="G15" s="10"/>
      <c r="H15" s="45" t="s">
        <v>34</v>
      </c>
      <c r="I15" s="40"/>
      <c r="J15" s="40"/>
      <c r="K15" s="40"/>
      <c r="N15" s="76"/>
      <c r="O15" s="76"/>
      <c r="S15" s="11"/>
      <c r="T15" s="1"/>
      <c r="U15" s="1"/>
      <c r="V15" s="1"/>
      <c r="W15" s="1"/>
    </row>
    <row r="16" spans="1:23" ht="13.5" thickBot="1" x14ac:dyDescent="0.2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"/>
      <c r="U16" s="1"/>
      <c r="V16" s="1"/>
      <c r="W16" s="1"/>
    </row>
    <row r="17" spans="1:23" ht="13.5" thickBot="1" x14ac:dyDescent="0.25">
      <c r="A17" s="7"/>
      <c r="B17" s="30" t="s">
        <v>25</v>
      </c>
      <c r="C17" s="30"/>
      <c r="D17" s="10"/>
      <c r="E17" s="73"/>
      <c r="F17" s="70"/>
      <c r="G17" s="10"/>
      <c r="H17" s="30" t="s">
        <v>33</v>
      </c>
      <c r="I17" s="30"/>
      <c r="J17" s="30"/>
      <c r="K17" s="30"/>
      <c r="L17" s="10"/>
      <c r="M17" s="10"/>
      <c r="N17" s="77"/>
      <c r="O17" s="78"/>
      <c r="P17" s="10"/>
      <c r="S17" s="11"/>
      <c r="T17" s="1"/>
      <c r="U17" s="1"/>
      <c r="V17" s="1"/>
      <c r="W17" s="1"/>
    </row>
    <row r="18" spans="1:23" ht="13.5" thickBot="1" x14ac:dyDescent="0.25">
      <c r="A18" s="7"/>
      <c r="B18" s="30"/>
      <c r="C18" s="30"/>
      <c r="D18" s="10"/>
      <c r="E18" s="33"/>
      <c r="F18" s="33"/>
      <c r="G18" s="10"/>
      <c r="P18" s="10"/>
      <c r="Q18" s="33"/>
      <c r="R18" s="33"/>
      <c r="S18" s="11"/>
      <c r="T18" s="1"/>
      <c r="U18" s="1"/>
      <c r="V18" s="1"/>
      <c r="W18" s="1"/>
    </row>
    <row r="19" spans="1:23" ht="13.5" thickBot="1" x14ac:dyDescent="0.25">
      <c r="A19" s="7"/>
      <c r="B19" s="30" t="s">
        <v>35</v>
      </c>
      <c r="C19" s="30"/>
      <c r="D19" s="10"/>
      <c r="E19" s="83" t="e">
        <f>E13/E17</f>
        <v>#DIV/0!</v>
      </c>
      <c r="F19" s="83"/>
      <c r="G19" s="10"/>
      <c r="H19" s="30" t="s">
        <v>27</v>
      </c>
      <c r="I19" s="30"/>
      <c r="J19" s="30"/>
      <c r="K19" s="30"/>
      <c r="L19" s="30"/>
      <c r="M19" s="10"/>
      <c r="N19" s="79"/>
      <c r="O19" s="79"/>
      <c r="P19" s="10"/>
      <c r="Q19" s="73"/>
      <c r="R19" s="70"/>
      <c r="S19" s="11"/>
      <c r="T19" s="1"/>
      <c r="U19" s="1"/>
      <c r="V19" s="1"/>
      <c r="W19" s="1"/>
    </row>
    <row r="20" spans="1:23" x14ac:dyDescent="0.2">
      <c r="A20" s="7"/>
      <c r="B20" s="10"/>
      <c r="C20" s="10"/>
      <c r="D20" s="10"/>
      <c r="E20" s="10"/>
      <c r="F20" s="10"/>
      <c r="G20" s="10"/>
      <c r="H20" s="30"/>
      <c r="I20" s="30"/>
      <c r="J20" s="30"/>
      <c r="K20" s="30"/>
      <c r="L20" s="30"/>
      <c r="M20" s="10"/>
      <c r="N20" s="30"/>
      <c r="O20" s="30"/>
      <c r="P20" s="10"/>
      <c r="Q20" s="10"/>
      <c r="R20" s="10"/>
      <c r="S20" s="11"/>
      <c r="T20" s="1"/>
      <c r="U20" s="1"/>
      <c r="V20" s="1"/>
      <c r="W20" s="1"/>
    </row>
    <row r="21" spans="1:23" ht="13.5" thickBot="1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"/>
      <c r="U21" s="1"/>
      <c r="V21" s="1"/>
      <c r="W21" s="1"/>
    </row>
    <row r="22" spans="1:23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</row>
    <row r="23" spans="1:23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</row>
    <row r="24" spans="1:2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</row>
    <row r="25" spans="1:23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</row>
    <row r="26" spans="1:2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</row>
    <row r="27" spans="1:23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</row>
    <row r="28" spans="1:2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</row>
    <row r="29" spans="1:23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</row>
    <row r="30" spans="1:2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</row>
    <row r="31" spans="1:23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</row>
    <row r="32" spans="1:23" ht="8.1" customHeight="1" thickBot="1" x14ac:dyDescent="0.25">
      <c r="A32" s="1"/>
      <c r="B32" s="2"/>
      <c r="C32" s="2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8.1" customHeight="1" x14ac:dyDescent="0.2">
      <c r="A33" s="4"/>
      <c r="B33" s="5"/>
      <c r="C33" s="5"/>
      <c r="D33" s="5"/>
      <c r="E33" s="5"/>
      <c r="F33" s="5"/>
      <c r="G33" s="5"/>
      <c r="H33" s="5"/>
      <c r="I33" s="5"/>
      <c r="J33" s="6"/>
      <c r="K33" s="1"/>
      <c r="L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7"/>
      <c r="B34" s="30" t="s">
        <v>10</v>
      </c>
      <c r="C34" s="30"/>
      <c r="D34" s="30"/>
      <c r="E34" s="30"/>
      <c r="F34" s="30"/>
      <c r="G34" s="30"/>
      <c r="H34" s="30"/>
      <c r="I34" s="30"/>
      <c r="J34" s="9"/>
      <c r="K34" s="10"/>
      <c r="L34" s="30"/>
      <c r="M34" s="30"/>
      <c r="N34" s="30"/>
      <c r="O34" s="30"/>
      <c r="P34" s="30"/>
      <c r="Q34" s="30"/>
      <c r="R34" s="30"/>
      <c r="S34" s="30"/>
      <c r="T34" s="30"/>
      <c r="U34" s="1"/>
      <c r="V34" s="1"/>
      <c r="W34" s="1"/>
    </row>
    <row r="35" spans="1:23" ht="8.1" customHeight="1" x14ac:dyDescent="0.2">
      <c r="A35" s="7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 thickBot="1" x14ac:dyDescent="0.25">
      <c r="A36" s="7"/>
      <c r="B36" s="30" t="s">
        <v>11</v>
      </c>
      <c r="C36" s="30"/>
      <c r="D36" s="30"/>
      <c r="E36" s="30"/>
      <c r="F36" s="30"/>
      <c r="G36" s="30"/>
      <c r="H36" s="30"/>
      <c r="I36" s="30"/>
      <c r="J36" s="9"/>
      <c r="K36" s="10"/>
      <c r="L36" s="10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 thickBot="1" x14ac:dyDescent="0.25">
      <c r="A37" s="7"/>
      <c r="B37" s="73"/>
      <c r="C37" s="70"/>
      <c r="D37" s="10"/>
      <c r="E37" s="73"/>
      <c r="F37" s="70"/>
      <c r="G37" s="10"/>
      <c r="H37" s="73"/>
      <c r="I37" s="70"/>
      <c r="J37" s="12" t="str">
        <f>IF(ISERROR(AVERAGE(B37,E37,H37)),"",AVERAGE(B37,E37,H37))</f>
        <v/>
      </c>
      <c r="K37" s="8"/>
      <c r="L37" s="8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7"/>
      <c r="B38" s="30" t="s">
        <v>22</v>
      </c>
      <c r="C38" s="30"/>
      <c r="D38" s="30"/>
      <c r="E38" s="30"/>
      <c r="F38" s="30"/>
      <c r="G38" s="30"/>
      <c r="H38" s="30"/>
      <c r="I38" s="30"/>
      <c r="J38" s="12"/>
      <c r="K38" s="13"/>
      <c r="L38" s="13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8.1" customHeight="1" x14ac:dyDescent="0.2">
      <c r="A39" s="7"/>
      <c r="B39" s="30"/>
      <c r="C39" s="30"/>
      <c r="D39" s="30"/>
      <c r="E39" s="30"/>
      <c r="F39" s="30"/>
      <c r="G39" s="30"/>
      <c r="H39" s="30"/>
      <c r="I39" s="30"/>
      <c r="J39" s="12"/>
      <c r="K39" s="13"/>
      <c r="L39" s="13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thickBot="1" x14ac:dyDescent="0.25">
      <c r="A40" s="7"/>
      <c r="B40" s="30" t="s">
        <v>12</v>
      </c>
      <c r="C40" s="30"/>
      <c r="D40" s="30"/>
      <c r="E40" s="30"/>
      <c r="F40" s="30"/>
      <c r="G40" s="30"/>
      <c r="H40" s="30"/>
      <c r="I40" s="30"/>
      <c r="J40" s="12"/>
      <c r="K40" s="13"/>
      <c r="L40" s="13"/>
      <c r="M40" s="54" t="s">
        <v>40</v>
      </c>
      <c r="N40" s="54"/>
      <c r="O40" s="54"/>
      <c r="P40" s="54"/>
      <c r="Q40" s="54"/>
      <c r="R40" s="54"/>
      <c r="S40" s="54"/>
      <c r="T40" s="54"/>
      <c r="U40" s="1"/>
      <c r="V40" s="1"/>
      <c r="W40" s="1"/>
    </row>
    <row r="41" spans="1:23" ht="13.5" thickBot="1" x14ac:dyDescent="0.25">
      <c r="A41" s="7"/>
      <c r="B41" s="73"/>
      <c r="C41" s="70"/>
      <c r="D41" s="10"/>
      <c r="E41" s="73"/>
      <c r="F41" s="70"/>
      <c r="G41" s="10"/>
      <c r="H41" s="73"/>
      <c r="I41" s="70"/>
      <c r="J41" s="12" t="str">
        <f>IF(ISERROR(AVERAGE(B41,E41,H41)),"",AVERAGE(B41,E41,H41))</f>
        <v/>
      </c>
      <c r="K41" s="13"/>
      <c r="L41" s="13"/>
      <c r="M41" s="54"/>
      <c r="N41" s="54"/>
      <c r="O41" s="54"/>
      <c r="P41" s="54"/>
      <c r="Q41" s="54"/>
      <c r="R41" s="54"/>
      <c r="S41" s="54"/>
      <c r="T41" s="54"/>
      <c r="U41" s="48"/>
      <c r="V41" s="1"/>
      <c r="W41" s="1"/>
    </row>
    <row r="42" spans="1:23" x14ac:dyDescent="0.2">
      <c r="A42" s="7"/>
      <c r="B42" s="30" t="s">
        <v>22</v>
      </c>
      <c r="C42" s="30"/>
      <c r="D42" s="30"/>
      <c r="E42" s="30"/>
      <c r="F42" s="30"/>
      <c r="G42" s="30"/>
      <c r="H42" s="30"/>
      <c r="I42" s="30"/>
      <c r="J42" s="12"/>
      <c r="K42" s="13"/>
      <c r="L42" s="13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8.1" customHeight="1" x14ac:dyDescent="0.2">
      <c r="A43" s="7"/>
      <c r="B43" s="10"/>
      <c r="C43" s="10"/>
      <c r="D43" s="10"/>
      <c r="E43" s="10"/>
      <c r="F43" s="10"/>
      <c r="G43" s="10"/>
      <c r="H43" s="10"/>
      <c r="I43" s="10"/>
      <c r="J43" s="14"/>
      <c r="K43" s="13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thickBot="1" x14ac:dyDescent="0.25">
      <c r="A44" s="7"/>
      <c r="B44" s="30" t="s">
        <v>13</v>
      </c>
      <c r="C44" s="30"/>
      <c r="D44" s="30"/>
      <c r="E44" s="30"/>
      <c r="F44" s="30"/>
      <c r="G44" s="30"/>
      <c r="H44" s="30"/>
      <c r="I44" s="30"/>
      <c r="J44" s="12"/>
      <c r="K44" s="15"/>
      <c r="L44" s="1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thickBot="1" x14ac:dyDescent="0.25">
      <c r="A45" s="7"/>
      <c r="B45" s="73"/>
      <c r="C45" s="70"/>
      <c r="D45" s="10"/>
      <c r="E45" s="73"/>
      <c r="F45" s="70"/>
      <c r="G45" s="10"/>
      <c r="H45" s="73"/>
      <c r="I45" s="70"/>
      <c r="J45" s="12" t="str">
        <f>IF(ISERROR(AVERAGE(B45,E45,H45)),"",AVERAGE(B45,E45,H45))</f>
        <v/>
      </c>
      <c r="K45" s="13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7"/>
      <c r="B46" s="30" t="s">
        <v>22</v>
      </c>
      <c r="C46" s="30"/>
      <c r="D46" s="30"/>
      <c r="E46" s="30"/>
      <c r="F46" s="30"/>
      <c r="G46" s="30"/>
      <c r="H46" s="30"/>
      <c r="I46" s="30"/>
      <c r="J46" s="12"/>
      <c r="K46" s="13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8.1" customHeight="1" x14ac:dyDescent="0.2">
      <c r="A47" s="7"/>
      <c r="B47" s="10"/>
      <c r="C47" s="10"/>
      <c r="D47" s="10"/>
      <c r="E47" s="10"/>
      <c r="F47" s="10"/>
      <c r="G47" s="10"/>
      <c r="H47" s="10"/>
      <c r="I47" s="10"/>
      <c r="J47" s="14"/>
      <c r="K47" s="13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thickBot="1" x14ac:dyDescent="0.25">
      <c r="A48" s="7"/>
      <c r="B48" s="30" t="s">
        <v>14</v>
      </c>
      <c r="C48" s="30"/>
      <c r="D48" s="30"/>
      <c r="E48" s="30"/>
      <c r="F48" s="30"/>
      <c r="G48" s="30"/>
      <c r="H48" s="30"/>
      <c r="I48" s="30"/>
      <c r="J48" s="12"/>
      <c r="K48" s="15"/>
      <c r="L48" s="1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thickBot="1" x14ac:dyDescent="0.25">
      <c r="A49" s="7"/>
      <c r="B49" s="73"/>
      <c r="C49" s="70"/>
      <c r="D49" s="10"/>
      <c r="E49" s="73"/>
      <c r="F49" s="70"/>
      <c r="G49" s="10"/>
      <c r="H49" s="73"/>
      <c r="I49" s="70"/>
      <c r="J49" s="12" t="str">
        <f>IF(ISERROR(AVERAGE(B49,E49,H49)),"",AVERAGE(B49,E49,H49))</f>
        <v/>
      </c>
      <c r="K49" s="13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7"/>
      <c r="B50" s="30" t="s">
        <v>22</v>
      </c>
      <c r="C50" s="30"/>
      <c r="D50" s="30"/>
      <c r="E50" s="30"/>
      <c r="F50" s="30"/>
      <c r="G50" s="30"/>
      <c r="H50" s="30"/>
      <c r="I50" s="30"/>
      <c r="J50" s="12"/>
      <c r="K50" s="13"/>
      <c r="L50" s="13"/>
      <c r="M50" s="31"/>
      <c r="N50" s="31"/>
      <c r="O50" s="31"/>
      <c r="P50" s="31"/>
      <c r="Q50" s="31"/>
      <c r="R50" s="31"/>
      <c r="S50" s="31"/>
      <c r="T50" s="31"/>
      <c r="U50" s="1"/>
      <c r="V50" s="1"/>
      <c r="W50" s="1"/>
    </row>
    <row r="51" spans="1:23" ht="8.1" customHeight="1" x14ac:dyDescent="0.2">
      <c r="A51" s="7"/>
      <c r="B51" s="10"/>
      <c r="C51" s="10"/>
      <c r="D51" s="10"/>
      <c r="E51" s="10"/>
      <c r="F51" s="10"/>
      <c r="G51" s="10"/>
      <c r="H51" s="10"/>
      <c r="I51" s="10"/>
      <c r="J51" s="14"/>
      <c r="K51" s="13"/>
      <c r="L51" s="1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thickBot="1" x14ac:dyDescent="0.25">
      <c r="A52" s="7"/>
      <c r="B52" s="30" t="s">
        <v>15</v>
      </c>
      <c r="C52" s="30"/>
      <c r="D52" s="30"/>
      <c r="E52" s="30"/>
      <c r="F52" s="30"/>
      <c r="G52" s="30"/>
      <c r="H52" s="30"/>
      <c r="I52" s="30"/>
      <c r="J52" s="12"/>
      <c r="K52" s="15"/>
      <c r="L52" s="1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 thickBot="1" x14ac:dyDescent="0.25">
      <c r="A53" s="7"/>
      <c r="B53" s="73"/>
      <c r="C53" s="70"/>
      <c r="D53" s="10"/>
      <c r="E53" s="73"/>
      <c r="F53" s="70"/>
      <c r="G53" s="10"/>
      <c r="H53" s="73"/>
      <c r="I53" s="70"/>
      <c r="J53" s="12" t="str">
        <f>IF(ISERROR(AVERAGE(B53,E53,H53)),"",AVERAGE(B53,E53,H53))</f>
        <v/>
      </c>
      <c r="K53" s="13"/>
      <c r="L53" s="1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7"/>
      <c r="B54" s="30" t="s">
        <v>22</v>
      </c>
      <c r="C54" s="30"/>
      <c r="D54" s="30"/>
      <c r="E54" s="30"/>
      <c r="F54" s="30"/>
      <c r="G54" s="30"/>
      <c r="H54" s="30"/>
      <c r="I54" s="30"/>
      <c r="J54" s="12"/>
      <c r="K54" s="13"/>
      <c r="L54" s="1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8.1" customHeight="1" x14ac:dyDescent="0.2">
      <c r="A55" s="7"/>
      <c r="B55" s="10"/>
      <c r="C55" s="10"/>
      <c r="D55" s="10"/>
      <c r="E55" s="10"/>
      <c r="F55" s="10"/>
      <c r="G55" s="10"/>
      <c r="H55" s="10"/>
      <c r="I55" s="10"/>
      <c r="J55" s="14"/>
      <c r="K55" s="13"/>
      <c r="L55" s="1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thickBot="1" x14ac:dyDescent="0.25">
      <c r="A56" s="7"/>
      <c r="B56" s="30" t="s">
        <v>16</v>
      </c>
      <c r="C56" s="30"/>
      <c r="D56" s="30"/>
      <c r="E56" s="30"/>
      <c r="F56" s="30"/>
      <c r="G56" s="30"/>
      <c r="H56" s="30"/>
      <c r="I56" s="30"/>
      <c r="J56" s="12"/>
      <c r="K56" s="15"/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thickBot="1" x14ac:dyDescent="0.25">
      <c r="A57" s="7"/>
      <c r="B57" s="73"/>
      <c r="C57" s="70"/>
      <c r="D57" s="10"/>
      <c r="E57" s="73"/>
      <c r="F57" s="70"/>
      <c r="G57" s="10"/>
      <c r="H57" s="73"/>
      <c r="I57" s="70"/>
      <c r="J57" s="12" t="str">
        <f>IF(ISERROR(AVERAGE(B57,E57,H57)),"",AVERAGE(B57,E57,H57))</f>
        <v/>
      </c>
      <c r="K57" s="13"/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7"/>
      <c r="B58" s="30" t="s">
        <v>22</v>
      </c>
      <c r="C58" s="30"/>
      <c r="D58" s="30"/>
      <c r="E58" s="30"/>
      <c r="F58" s="30"/>
      <c r="G58" s="30"/>
      <c r="H58" s="30"/>
      <c r="I58" s="30"/>
      <c r="J58" s="12"/>
      <c r="K58" s="13"/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8.1" customHeight="1" x14ac:dyDescent="0.2">
      <c r="A59" s="7"/>
      <c r="B59" s="10"/>
      <c r="C59" s="10"/>
      <c r="D59" s="10"/>
      <c r="E59" s="10"/>
      <c r="F59" s="10"/>
      <c r="G59" s="10"/>
      <c r="H59" s="10"/>
      <c r="I59" s="10"/>
      <c r="J59" s="14"/>
      <c r="K59" s="13"/>
      <c r="L59" s="1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5" thickBot="1" x14ac:dyDescent="0.25">
      <c r="A60" s="7"/>
      <c r="B60" s="30" t="s">
        <v>17</v>
      </c>
      <c r="C60" s="30"/>
      <c r="D60" s="30"/>
      <c r="E60" s="30"/>
      <c r="F60" s="30"/>
      <c r="G60" s="30"/>
      <c r="H60" s="30"/>
      <c r="I60" s="30"/>
      <c r="J60" s="12"/>
      <c r="K60" s="15"/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.5" thickBot="1" x14ac:dyDescent="0.25">
      <c r="A61" s="7"/>
      <c r="B61" s="73"/>
      <c r="C61" s="70"/>
      <c r="D61" s="10"/>
      <c r="E61" s="73"/>
      <c r="F61" s="70"/>
      <c r="G61" s="10"/>
      <c r="H61" s="73"/>
      <c r="I61" s="70"/>
      <c r="J61" s="12" t="str">
        <f>IF(ISERROR(AVERAGE(B61,E61,H61)),"",AVERAGE(B61,E61,H61))</f>
        <v/>
      </c>
      <c r="K61" s="13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7"/>
      <c r="B62" s="30" t="s">
        <v>22</v>
      </c>
      <c r="C62" s="30"/>
      <c r="D62" s="30"/>
      <c r="E62" s="30"/>
      <c r="F62" s="30"/>
      <c r="G62" s="30"/>
      <c r="H62" s="30"/>
      <c r="I62" s="30"/>
      <c r="J62" s="9"/>
      <c r="K62" s="13"/>
      <c r="L62" s="1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8.1" customHeight="1" thickBot="1" x14ac:dyDescent="0.25">
      <c r="A63" s="16"/>
      <c r="B63" s="17"/>
      <c r="C63" s="17"/>
      <c r="D63" s="17"/>
      <c r="E63" s="17"/>
      <c r="F63" s="17"/>
      <c r="G63" s="17"/>
      <c r="H63" s="17"/>
      <c r="I63" s="17"/>
      <c r="J63" s="18"/>
      <c r="K63" s="8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8.1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8"/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4" ht="8.1" customHeight="1" thickBo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0"/>
      <c r="L65" s="1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4" ht="13.5" thickBot="1" x14ac:dyDescent="0.25">
      <c r="A66" s="1"/>
      <c r="B66" s="31" t="s">
        <v>18</v>
      </c>
      <c r="C66" s="31"/>
      <c r="D66" s="31"/>
      <c r="E66" s="31"/>
      <c r="F66" s="31"/>
      <c r="G66" s="1"/>
      <c r="H66" s="19">
        <f>IF(ISERROR((4.95/(1.112-(0.00043499*(SUM(J61,J57,J53,J49,J45,J41,J37)))+(0.00000055*((SUM(J61,J57,J53,J49,J45,J41,J37))^2))-(0.00028826*K6))-4.5)*100),"",(4.95/(1.112-(0.00043499*(SUM(J61,J57,J53,J49,J45,J41,J37)))+(0.00000055*((SUM(J61,J57,J53,J49,J45,J41,J37))^2))-(0.00028826*K6))-4.5)*100)</f>
        <v>-4.8561151079137055</v>
      </c>
      <c r="I66" s="20" t="s">
        <v>19</v>
      </c>
      <c r="J66" s="1"/>
      <c r="K66" s="31" t="s">
        <v>20</v>
      </c>
      <c r="L66" s="31"/>
      <c r="M66" s="31"/>
      <c r="N66" s="31"/>
      <c r="O66" s="31"/>
      <c r="P66" s="1"/>
      <c r="Q66" s="59" t="str">
        <f>IF(ISERROR(703*(E6/(E8^2))),"",703*(E6/(E8^2)))</f>
        <v/>
      </c>
      <c r="R66" s="60"/>
      <c r="S66" s="1"/>
      <c r="T66" s="1"/>
      <c r="U66" s="1"/>
      <c r="V66" s="1"/>
      <c r="W66" s="1"/>
    </row>
    <row r="67" spans="1:24" ht="13.5" thickBot="1" x14ac:dyDescent="0.25">
      <c r="A67" s="1"/>
      <c r="B67" s="2"/>
      <c r="C67" s="2"/>
      <c r="D67" s="2"/>
      <c r="E67" s="2"/>
      <c r="F67" s="2"/>
      <c r="G67" s="1"/>
      <c r="H67" s="21"/>
      <c r="I67" s="51"/>
      <c r="J67" s="1"/>
      <c r="K67" s="2"/>
      <c r="L67" s="2"/>
      <c r="M67" s="2"/>
      <c r="N67" s="2"/>
      <c r="O67" s="2"/>
      <c r="P67" s="1"/>
      <c r="Q67" s="8"/>
      <c r="R67" s="8"/>
      <c r="S67" s="1"/>
      <c r="T67" s="1"/>
      <c r="U67" s="1"/>
      <c r="V67" s="1"/>
      <c r="W67" s="1"/>
    </row>
    <row r="68" spans="1:24" ht="13.5" thickBot="1" x14ac:dyDescent="0.25">
      <c r="A68" s="1"/>
      <c r="B68" s="31" t="s">
        <v>37</v>
      </c>
      <c r="C68" s="31"/>
      <c r="D68" s="31"/>
      <c r="E68" s="31"/>
      <c r="F68" s="31"/>
      <c r="G68" s="1"/>
      <c r="H68" s="57">
        <f>E6*(100-H66)*0.01</f>
        <v>0</v>
      </c>
      <c r="I68" s="52" t="s">
        <v>4</v>
      </c>
      <c r="J68" s="1"/>
      <c r="K68" s="31" t="s">
        <v>21</v>
      </c>
      <c r="L68" s="31"/>
      <c r="M68" s="31"/>
      <c r="N68" s="31"/>
      <c r="O68" s="31"/>
      <c r="P68" s="1"/>
      <c r="Q68" s="56">
        <f xml:space="preserve"> (10*E6/2.2)+(6.25*E8*2.54)-(5*K6)+5</f>
        <v>5</v>
      </c>
      <c r="R68" s="47" t="s">
        <v>38</v>
      </c>
      <c r="S68" s="1"/>
      <c r="T68" s="1"/>
      <c r="U68" s="1"/>
      <c r="V68" s="1"/>
      <c r="W68" s="1"/>
    </row>
    <row r="69" spans="1:24" ht="8.1" customHeight="1" thickBot="1" x14ac:dyDescent="0.25">
      <c r="A69" s="1"/>
      <c r="B69" s="2"/>
      <c r="C69" s="2"/>
      <c r="D69" s="2"/>
      <c r="E69" s="2"/>
      <c r="F69" s="2"/>
      <c r="G69" s="1"/>
      <c r="H69" s="21"/>
      <c r="I69" s="22"/>
      <c r="J69" s="1"/>
      <c r="K69" s="1"/>
      <c r="L69" s="1"/>
      <c r="M69" s="1"/>
      <c r="N69" s="1"/>
      <c r="O69" s="1"/>
      <c r="P69" s="1"/>
      <c r="Q69" s="10"/>
      <c r="R69" s="1"/>
      <c r="S69" s="1"/>
      <c r="T69" s="1"/>
      <c r="U69" s="1"/>
      <c r="V69" s="1"/>
      <c r="W69" s="1"/>
    </row>
    <row r="70" spans="1:24" ht="13.5" thickBot="1" x14ac:dyDescent="0.25">
      <c r="A70" s="1"/>
      <c r="C70" s="45" t="s">
        <v>39</v>
      </c>
      <c r="D70" s="40"/>
      <c r="E70" s="40"/>
      <c r="G70" s="1"/>
      <c r="H70" s="58">
        <f>E6-H68</f>
        <v>0</v>
      </c>
      <c r="I70" s="53" t="s">
        <v>4</v>
      </c>
      <c r="J70" s="1"/>
      <c r="K70" s="38" t="s">
        <v>41</v>
      </c>
      <c r="L70" s="36"/>
      <c r="M70" s="36"/>
      <c r="N70" s="36"/>
      <c r="O70" s="36"/>
      <c r="P70" s="1"/>
      <c r="Q70" s="81" t="s">
        <v>42</v>
      </c>
      <c r="R70" s="81"/>
      <c r="S70" s="81"/>
      <c r="T70" s="81"/>
      <c r="U70" s="81"/>
      <c r="V70" s="81"/>
      <c r="W70" s="81"/>
      <c r="X70" s="80"/>
    </row>
    <row r="71" spans="1:24" x14ac:dyDescent="0.2">
      <c r="A71" s="1"/>
      <c r="C71" s="49"/>
      <c r="D71" s="39"/>
      <c r="E71" s="39"/>
      <c r="G71" s="1"/>
      <c r="H71" s="61"/>
      <c r="I71" s="25"/>
      <c r="J71" s="1"/>
      <c r="K71" s="26"/>
      <c r="L71" s="24"/>
      <c r="M71" s="24"/>
      <c r="N71" s="24"/>
      <c r="O71" s="24"/>
      <c r="P71" s="1"/>
      <c r="Q71" s="62"/>
      <c r="R71" s="62"/>
      <c r="S71" s="62"/>
      <c r="T71" s="62"/>
      <c r="U71" s="1"/>
      <c r="V71" s="1"/>
      <c r="W71" s="1"/>
    </row>
    <row r="72" spans="1:24" x14ac:dyDescent="0.2">
      <c r="A72" s="1"/>
      <c r="C72" s="49"/>
      <c r="D72" s="39"/>
      <c r="E72" s="39"/>
      <c r="G72" s="1"/>
      <c r="H72" s="61"/>
      <c r="I72" s="25"/>
      <c r="J72" s="1"/>
      <c r="K72" s="26"/>
      <c r="L72" s="24"/>
      <c r="M72" s="24"/>
      <c r="N72" s="24"/>
      <c r="O72" s="24"/>
      <c r="P72" s="1"/>
      <c r="Q72" s="82" t="s">
        <v>50</v>
      </c>
      <c r="R72" s="82"/>
      <c r="S72" s="82"/>
      <c r="T72" s="82"/>
      <c r="U72" s="1"/>
      <c r="V72" s="1"/>
      <c r="W72" s="1"/>
    </row>
    <row r="73" spans="1:24" ht="13.5" thickBot="1" x14ac:dyDescent="0.25">
      <c r="A73" s="1"/>
      <c r="B73" s="2"/>
      <c r="C73" s="2"/>
      <c r="D73" s="2"/>
      <c r="E73" s="2"/>
      <c r="F73" s="2"/>
      <c r="G73" s="1"/>
      <c r="H73" s="50"/>
      <c r="I73" s="50"/>
      <c r="J73" s="1"/>
      <c r="K73" s="24"/>
      <c r="L73" s="26"/>
      <c r="M73" s="24"/>
      <c r="N73" s="24"/>
      <c r="O73" s="24"/>
      <c r="P73" s="1"/>
      <c r="Q73" s="10"/>
      <c r="R73" s="25"/>
      <c r="S73" s="1"/>
      <c r="T73" s="1"/>
      <c r="U73" s="1"/>
      <c r="V73" s="1"/>
      <c r="W73" s="1"/>
    </row>
    <row r="74" spans="1:24" ht="13.5" thickBot="1" x14ac:dyDescent="0.25">
      <c r="A74" s="55"/>
      <c r="B74" s="32" t="s">
        <v>47</v>
      </c>
      <c r="C74" s="32"/>
      <c r="D74" s="32"/>
      <c r="E74" s="32"/>
      <c r="F74" s="32"/>
      <c r="G74" s="55"/>
      <c r="H74" s="55">
        <f>VLOOKUP(Q70,Multiplier,2,FALSE)*Q68</f>
        <v>6</v>
      </c>
      <c r="I74" s="55" t="s">
        <v>38</v>
      </c>
      <c r="J74" s="55"/>
      <c r="K74" s="32" t="s">
        <v>51</v>
      </c>
      <c r="L74" s="32"/>
      <c r="M74" s="32"/>
      <c r="N74" s="32"/>
      <c r="O74" s="32"/>
      <c r="P74" s="32"/>
      <c r="Q74" s="32"/>
      <c r="R74" s="66">
        <f>H74*0.75</f>
        <v>4.5</v>
      </c>
      <c r="S74" s="64" t="s">
        <v>53</v>
      </c>
      <c r="T74" s="66">
        <f>H74*0.85</f>
        <v>5.0999999999999996</v>
      </c>
      <c r="V74" s="1"/>
      <c r="W74" s="1"/>
    </row>
    <row r="75" spans="1:24" ht="13.5" thickBo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32" t="s">
        <v>52</v>
      </c>
      <c r="L75" s="32"/>
      <c r="M75" s="32"/>
      <c r="N75" s="32"/>
      <c r="O75" s="32"/>
      <c r="P75" s="32"/>
      <c r="Q75" s="32"/>
      <c r="R75" s="66">
        <f>H74*1.15</f>
        <v>6.8999999999999995</v>
      </c>
      <c r="S75" s="65" t="s">
        <v>53</v>
      </c>
      <c r="T75" s="67">
        <f>H74*1.25</f>
        <v>7.5</v>
      </c>
      <c r="V75" s="1"/>
      <c r="W75" s="1"/>
    </row>
    <row r="76" spans="1:24" ht="8.1" customHeight="1" x14ac:dyDescent="0.2">
      <c r="V76" s="1"/>
      <c r="W76" s="1"/>
    </row>
    <row r="77" spans="1:24" ht="8.1" customHeight="1" x14ac:dyDescent="0.2">
      <c r="V77" s="1"/>
      <c r="W77" s="1"/>
    </row>
    <row r="78" spans="1:24" x14ac:dyDescent="0.2">
      <c r="V78" s="1"/>
      <c r="W78" s="1"/>
    </row>
    <row r="79" spans="1:24" ht="8.1" customHeight="1" x14ac:dyDescent="0.2">
      <c r="V79" s="1"/>
      <c r="W79" s="1"/>
    </row>
    <row r="80" spans="1:24" x14ac:dyDescent="0.2">
      <c r="V80" s="1"/>
      <c r="W80" s="1"/>
    </row>
    <row r="81" spans="1:23" ht="8.1" customHeight="1" x14ac:dyDescent="0.2">
      <c r="U81" s="1"/>
      <c r="V81" s="1"/>
      <c r="W81" s="1"/>
    </row>
    <row r="82" spans="1:23" x14ac:dyDescent="0.2">
      <c r="U82" s="1"/>
      <c r="V82" s="1"/>
      <c r="W82" s="1"/>
    </row>
    <row r="83" spans="1:23" ht="8.1" customHeight="1" x14ac:dyDescent="0.2">
      <c r="U83" s="1"/>
      <c r="V83" s="1"/>
      <c r="W83" s="1"/>
    </row>
    <row r="84" spans="1:23" ht="14.25" customHeight="1" x14ac:dyDescent="0.2">
      <c r="U84" s="1"/>
      <c r="V84" s="1"/>
      <c r="W84" s="1"/>
    </row>
    <row r="85" spans="1:23" x14ac:dyDescent="0.2">
      <c r="U85" s="1"/>
      <c r="V85" s="1"/>
      <c r="W85" s="1"/>
    </row>
    <row r="86" spans="1:23" ht="8.1" customHeight="1" x14ac:dyDescent="0.2">
      <c r="U86" s="1"/>
      <c r="V86" s="1"/>
      <c r="W86" s="1"/>
    </row>
    <row r="87" spans="1:23" ht="8.1" customHeight="1" x14ac:dyDescent="0.2">
      <c r="U87" s="1"/>
      <c r="V87" s="1"/>
      <c r="W87" s="1"/>
    </row>
    <row r="88" spans="1:23" ht="8.1" customHeight="1" x14ac:dyDescent="0.2">
      <c r="U88" s="1"/>
      <c r="V88" s="1"/>
      <c r="W88" s="1"/>
    </row>
    <row r="89" spans="1:23" ht="8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</sheetData>
  <sheetProtection algorithmName="SHA-512" hashValue="gwcgtBRwtTQ8BEM1g9DU+YbqETaq4pUWmb5fqrDhgoFK6YAtx4LBmJjS3mtoYbA/WuTvQ5eExLADEJPxemQ4/Q==" saltValue="T4EcA5ApDYC3RA8Knuwd9Q==" spinCount="100000" sheet="1" objects="1" scenarios="1" selectLockedCells="1"/>
  <mergeCells count="90">
    <mergeCell ref="K75:Q75"/>
    <mergeCell ref="Q70:W70"/>
    <mergeCell ref="M40:T41"/>
    <mergeCell ref="B74:F74"/>
    <mergeCell ref="K74:Q74"/>
    <mergeCell ref="B2:C2"/>
    <mergeCell ref="B68:F68"/>
    <mergeCell ref="C70:E70"/>
    <mergeCell ref="M50:T50"/>
    <mergeCell ref="E2:M2"/>
    <mergeCell ref="H15:K15"/>
    <mergeCell ref="N15:O15"/>
    <mergeCell ref="H17:K17"/>
    <mergeCell ref="N17:O17"/>
    <mergeCell ref="B19:C19"/>
    <mergeCell ref="E19:F19"/>
    <mergeCell ref="P4:U6"/>
    <mergeCell ref="E57:F57"/>
    <mergeCell ref="Q19:R19"/>
    <mergeCell ref="N19:O19"/>
    <mergeCell ref="B62:I62"/>
    <mergeCell ref="B66:F66"/>
    <mergeCell ref="B4:C4"/>
    <mergeCell ref="E4:F4"/>
    <mergeCell ref="H4:I4"/>
    <mergeCell ref="L4:M4"/>
    <mergeCell ref="B6:C6"/>
    <mergeCell ref="H6:I6"/>
    <mergeCell ref="L6:M6"/>
    <mergeCell ref="B44:I44"/>
    <mergeCell ref="B18:C18"/>
    <mergeCell ref="E18:F18"/>
    <mergeCell ref="H20:L20"/>
    <mergeCell ref="K68:O68"/>
    <mergeCell ref="K70:O70"/>
    <mergeCell ref="N20:O20"/>
    <mergeCell ref="B17:C17"/>
    <mergeCell ref="E17:F17"/>
    <mergeCell ref="H19:L19"/>
    <mergeCell ref="Q11:R11"/>
    <mergeCell ref="B13:C13"/>
    <mergeCell ref="Q13:R13"/>
    <mergeCell ref="B15:C15"/>
    <mergeCell ref="E15:F15"/>
    <mergeCell ref="Q18:R18"/>
    <mergeCell ref="Q66:R66"/>
    <mergeCell ref="N11:O11"/>
    <mergeCell ref="B11:L11"/>
    <mergeCell ref="K66:O66"/>
    <mergeCell ref="H49:I49"/>
    <mergeCell ref="B58:I58"/>
    <mergeCell ref="B60:I60"/>
    <mergeCell ref="B61:C61"/>
    <mergeCell ref="E61:F61"/>
    <mergeCell ref="H61:I61"/>
    <mergeCell ref="H57:I57"/>
    <mergeCell ref="B54:I54"/>
    <mergeCell ref="B56:I56"/>
    <mergeCell ref="B57:C57"/>
    <mergeCell ref="B42:I42"/>
    <mergeCell ref="B50:I50"/>
    <mergeCell ref="B52:I52"/>
    <mergeCell ref="B53:C53"/>
    <mergeCell ref="E53:F53"/>
    <mergeCell ref="B45:C45"/>
    <mergeCell ref="E45:F45"/>
    <mergeCell ref="H45:I45"/>
    <mergeCell ref="B38:I38"/>
    <mergeCell ref="B39:I39"/>
    <mergeCell ref="B40:I40"/>
    <mergeCell ref="B41:C41"/>
    <mergeCell ref="E41:F41"/>
    <mergeCell ref="H41:I41"/>
    <mergeCell ref="N13:O13"/>
    <mergeCell ref="H13:L13"/>
    <mergeCell ref="E13:F13"/>
    <mergeCell ref="B46:I46"/>
    <mergeCell ref="B48:I48"/>
    <mergeCell ref="B49:C49"/>
    <mergeCell ref="H53:I53"/>
    <mergeCell ref="E49:F49"/>
    <mergeCell ref="L8:M8"/>
    <mergeCell ref="B34:I34"/>
    <mergeCell ref="B36:I36"/>
    <mergeCell ref="B37:C37"/>
    <mergeCell ref="E37:F37"/>
    <mergeCell ref="H37:I37"/>
    <mergeCell ref="B8:C8"/>
    <mergeCell ref="H8:I8"/>
    <mergeCell ref="L34:T34"/>
  </mergeCells>
  <phoneticPr fontId="1" type="noConversion"/>
  <conditionalFormatting sqref="H63:H65 K3:K7 L3:L9 M3:W3 Q66:Q67 B63:G67 A3:J9 I63:I72 M7:W9 M5:O5 N4:P4 N6:O6 V4:W6 A15 K32:W32 B32:I62 U81:W88 A89:W89 A10:R14 S10:W31 K43:W49 K33:L42 N33:W33 N35:W39 U34:W34 K51:W65 K50:M50 U50:W50 S75:T75 V74:W80 A16:R16 A20:R31 A18:G18 G15 A17:H17 L17:N17 P17:R18 A19:B19 D19:E19 G19:R19 G68 B68 B69:H69 K66:P72 R69 A32:A72 J32:J72 S66:W69 A73:B73 G70:G73 J73:L73 O73:P73 N42:W42 V41:W41 U40:W40 U71:W72 R73:W73">
    <cfRule type="expression" dxfId="11" priority="2" stopIfTrue="1">
      <formula>iserror</formula>
    </cfRule>
  </conditionalFormatting>
  <conditionalFormatting sqref="H66:H67 K8:K9">
    <cfRule type="cellIs" dxfId="10" priority="3" stopIfTrue="1" operator="lessThanOrEqual">
      <formula>0</formula>
    </cfRule>
  </conditionalFormatting>
  <conditionalFormatting sqref="Q68:Q69 H73">
    <cfRule type="cellIs" dxfId="9" priority="4" stopIfTrue="1" operator="lessThanOrEqual">
      <formula>500</formula>
    </cfRule>
  </conditionalFormatting>
  <conditionalFormatting sqref="Q70:Q71 Q73">
    <cfRule type="cellIs" dxfId="8" priority="5" stopIfTrue="1" operator="lessThanOrEqual">
      <formula>750</formula>
    </cfRule>
  </conditionalFormatting>
  <pageMargins left="0.7" right="0.7" top="0.75" bottom="0.75" header="0.3" footer="0.3"/>
  <pageSetup scale="76" orientation="portrait" verticalDpi="1200" r:id="rId1"/>
  <headerFooter alignWithMargins="0"/>
  <customProperties>
    <customPr name="DVSECTIONID" r:id="rId2"/>
  </customProperties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2BF0E03-167E-415C-8DCF-4CEDF485C836}">
            <x14:iconSet iconSet="4TrafficLights" custom="1">
              <x14:cfvo type="percent">
                <xm:f>0</xm:f>
              </x14:cfvo>
              <x14:cfvo type="num">
                <xm:f>8</xm:f>
              </x14:cfvo>
              <x14:cfvo type="num">
                <xm:f>17</xm:f>
              </x14:cfvo>
              <x14:cfvo type="num">
                <xm:f>25</xm:f>
              </x14:cfvo>
              <x14:cfIcon iconSet="3TrafficLights1" iconId="0"/>
              <x14:cfIcon iconSet="3TrafficLights1" iconId="2"/>
              <x14:cfIcon iconSet="3TrafficLights1" iconId="1"/>
              <x14:cfIcon iconSet="3TrafficLights1" iconId="0"/>
            </x14:iconSet>
          </x14:cfRule>
          <xm:sqref>H66:H67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'Activity Multiplier'!$A$2:$A$6</xm:f>
          </x14:formula1>
          <xm:sqref>Q70:Q71 R71:T71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showGridLines="0" topLeftCell="A2" zoomScaleNormal="100" workbookViewId="0">
      <selection activeCell="E2" sqref="E2:M2"/>
    </sheetView>
  </sheetViews>
  <sheetFormatPr defaultRowHeight="12.75" x14ac:dyDescent="0.2"/>
  <cols>
    <col min="1" max="1" width="1.7109375" customWidth="1"/>
    <col min="2" max="3" width="4.7109375" customWidth="1"/>
    <col min="4" max="4" width="1.7109375" customWidth="1"/>
    <col min="5" max="5" width="5.42578125" customWidth="1"/>
    <col min="6" max="6" width="5.28515625" customWidth="1"/>
    <col min="7" max="7" width="1.7109375" customWidth="1"/>
    <col min="8" max="8" width="7.42578125" customWidth="1"/>
    <col min="9" max="9" width="4.7109375" customWidth="1"/>
    <col min="10" max="10" width="1.7109375" customWidth="1"/>
    <col min="11" max="11" width="4.7109375" customWidth="1"/>
    <col min="12" max="12" width="1.7109375" customWidth="1"/>
    <col min="13" max="13" width="2.28515625" customWidth="1"/>
    <col min="14" max="14" width="4.7109375" customWidth="1"/>
    <col min="15" max="15" width="7.85546875" customWidth="1"/>
    <col min="16" max="16" width="4.42578125" customWidth="1"/>
    <col min="17" max="17" width="6.85546875" customWidth="1"/>
    <col min="18" max="18" width="6.140625" customWidth="1"/>
    <col min="19" max="19" width="4.5703125" customWidth="1"/>
    <col min="20" max="20" width="6.42578125" customWidth="1"/>
    <col min="22" max="22" width="8.140625" customWidth="1"/>
    <col min="23" max="23" width="1.7109375" customWidth="1"/>
  </cols>
  <sheetData>
    <row r="1" spans="1:23" ht="13.5" thickBot="1" x14ac:dyDescent="0.25"/>
    <row r="2" spans="1:23" ht="13.5" thickBot="1" x14ac:dyDescent="0.25">
      <c r="B2" s="45" t="s">
        <v>36</v>
      </c>
      <c r="C2" s="45"/>
      <c r="D2" s="48"/>
      <c r="E2" s="68"/>
      <c r="F2" s="68"/>
      <c r="G2" s="68"/>
      <c r="H2" s="68"/>
      <c r="I2" s="68"/>
      <c r="J2" s="68"/>
      <c r="K2" s="68"/>
      <c r="L2" s="68"/>
      <c r="M2" s="68"/>
    </row>
    <row r="3" spans="1:23" ht="8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thickBot="1" x14ac:dyDescent="0.25">
      <c r="A4" s="1"/>
      <c r="B4" s="31" t="s">
        <v>0</v>
      </c>
      <c r="C4" s="31"/>
      <c r="D4" s="1"/>
      <c r="E4" s="69">
        <v>42375</v>
      </c>
      <c r="F4" s="70"/>
      <c r="G4" s="1"/>
      <c r="H4" s="38" t="s">
        <v>1</v>
      </c>
      <c r="I4" s="38"/>
      <c r="J4" s="1"/>
      <c r="K4" s="71">
        <v>64</v>
      </c>
      <c r="L4" s="34" t="s">
        <v>2</v>
      </c>
      <c r="M4" s="35"/>
      <c r="N4" s="1"/>
      <c r="O4" s="1"/>
      <c r="P4" s="37"/>
      <c r="Q4" s="37"/>
      <c r="R4" s="37"/>
      <c r="S4" s="37"/>
      <c r="T4" s="37"/>
      <c r="U4" s="37"/>
      <c r="V4" s="1"/>
      <c r="W4" s="1"/>
    </row>
    <row r="5" spans="1:23" ht="8.1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7"/>
      <c r="Q5" s="37"/>
      <c r="R5" s="37"/>
      <c r="S5" s="37"/>
      <c r="T5" s="37"/>
      <c r="U5" s="37"/>
      <c r="V5" s="1"/>
      <c r="W5" s="1"/>
    </row>
    <row r="6" spans="1:23" ht="13.5" thickBot="1" x14ac:dyDescent="0.25">
      <c r="A6" s="1"/>
      <c r="B6" s="31" t="s">
        <v>3</v>
      </c>
      <c r="C6" s="31"/>
      <c r="D6" s="1"/>
      <c r="E6" s="71">
        <v>180</v>
      </c>
      <c r="F6" s="3" t="s">
        <v>4</v>
      </c>
      <c r="G6" s="1"/>
      <c r="H6" s="31" t="s">
        <v>5</v>
      </c>
      <c r="I6" s="31"/>
      <c r="J6" s="1"/>
      <c r="K6" s="71">
        <v>32</v>
      </c>
      <c r="L6" s="34" t="s">
        <v>6</v>
      </c>
      <c r="M6" s="35"/>
      <c r="N6" s="1"/>
      <c r="O6" s="1"/>
      <c r="P6" s="37"/>
      <c r="Q6" s="37"/>
      <c r="R6" s="37"/>
      <c r="S6" s="37"/>
      <c r="T6" s="37"/>
      <c r="U6" s="37"/>
      <c r="V6" s="1"/>
      <c r="W6" s="1"/>
    </row>
    <row r="7" spans="1:23" ht="8.1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 x14ac:dyDescent="0.25">
      <c r="A8" s="1"/>
      <c r="B8" s="31" t="s">
        <v>7</v>
      </c>
      <c r="C8" s="31"/>
      <c r="D8" s="1"/>
      <c r="E8" s="71">
        <v>73</v>
      </c>
      <c r="F8" s="3" t="s">
        <v>8</v>
      </c>
      <c r="G8" s="1"/>
      <c r="H8" s="31" t="s">
        <v>9</v>
      </c>
      <c r="I8" s="31"/>
      <c r="J8" s="1"/>
      <c r="K8" s="72">
        <f>E6*(100-H66)*0.01</f>
        <v>149.57664593194013</v>
      </c>
      <c r="L8" s="28" t="s">
        <v>4</v>
      </c>
      <c r="M8" s="29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 x14ac:dyDescent="0.25">
      <c r="A9" s="1"/>
      <c r="B9" s="2"/>
      <c r="C9" s="2"/>
      <c r="D9" s="1"/>
      <c r="E9" s="41"/>
      <c r="F9" s="42"/>
      <c r="G9" s="1"/>
      <c r="H9" s="2"/>
      <c r="I9" s="2"/>
      <c r="J9" s="1"/>
      <c r="K9" s="43"/>
      <c r="L9" s="44"/>
      <c r="M9" s="44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1"/>
      <c r="U10" s="1"/>
      <c r="V10" s="1"/>
      <c r="W10" s="1"/>
    </row>
    <row r="11" spans="1:23" x14ac:dyDescent="0.2">
      <c r="A11" s="7"/>
      <c r="B11" s="30" t="s">
        <v>23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0"/>
      <c r="N11" s="30" t="s">
        <v>28</v>
      </c>
      <c r="O11" s="30"/>
      <c r="P11" s="10"/>
      <c r="Q11" s="30" t="s">
        <v>29</v>
      </c>
      <c r="R11" s="30"/>
      <c r="S11" s="11"/>
      <c r="T11" s="1"/>
      <c r="U11" s="1"/>
      <c r="V11" s="1"/>
      <c r="W11" s="1"/>
    </row>
    <row r="12" spans="1:23" ht="13.5" thickBot="1" x14ac:dyDescent="0.25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"/>
      <c r="U12" s="1"/>
      <c r="V12" s="1"/>
      <c r="W12" s="1"/>
    </row>
    <row r="13" spans="1:23" ht="13.5" thickBot="1" x14ac:dyDescent="0.25">
      <c r="A13" s="7"/>
      <c r="B13" s="30" t="s">
        <v>24</v>
      </c>
      <c r="C13" s="30"/>
      <c r="D13" s="10"/>
      <c r="E13" s="73">
        <v>26.5</v>
      </c>
      <c r="F13" s="70"/>
      <c r="G13" s="10"/>
      <c r="H13" s="30" t="s">
        <v>26</v>
      </c>
      <c r="I13" s="30"/>
      <c r="J13" s="30"/>
      <c r="K13" s="30"/>
      <c r="L13" s="30"/>
      <c r="M13" s="10"/>
      <c r="N13" s="73">
        <v>13</v>
      </c>
      <c r="O13" s="70"/>
      <c r="P13" s="10"/>
      <c r="Q13" s="73">
        <v>23</v>
      </c>
      <c r="R13" s="70"/>
      <c r="S13" s="11"/>
      <c r="T13" s="1"/>
      <c r="U13" s="1"/>
      <c r="V13" s="1"/>
      <c r="W13" s="1"/>
    </row>
    <row r="14" spans="1:23" ht="13.5" thickBot="1" x14ac:dyDescent="0.2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"/>
      <c r="U14" s="1"/>
      <c r="V14" s="1"/>
      <c r="W14" s="1"/>
    </row>
    <row r="15" spans="1:23" ht="13.5" thickBot="1" x14ac:dyDescent="0.25">
      <c r="A15" s="7"/>
      <c r="B15" s="40" t="s">
        <v>32</v>
      </c>
      <c r="C15" s="40"/>
      <c r="E15" s="74">
        <v>30</v>
      </c>
      <c r="F15" s="75"/>
      <c r="G15" s="10"/>
      <c r="H15" s="45" t="s">
        <v>34</v>
      </c>
      <c r="I15" s="40"/>
      <c r="J15" s="40"/>
      <c r="K15" s="40"/>
      <c r="N15" s="76"/>
      <c r="O15" s="76"/>
      <c r="S15" s="11"/>
      <c r="T15" s="1"/>
      <c r="U15" s="1"/>
      <c r="V15" s="1"/>
      <c r="W15" s="1"/>
    </row>
    <row r="16" spans="1:23" ht="13.5" thickBot="1" x14ac:dyDescent="0.2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"/>
      <c r="U16" s="1"/>
      <c r="V16" s="1"/>
      <c r="W16" s="1"/>
    </row>
    <row r="17" spans="1:23" ht="13.5" thickBot="1" x14ac:dyDescent="0.25">
      <c r="A17" s="7"/>
      <c r="B17" s="30" t="s">
        <v>25</v>
      </c>
      <c r="C17" s="30"/>
      <c r="D17" s="10"/>
      <c r="E17" s="73">
        <v>32</v>
      </c>
      <c r="F17" s="70"/>
      <c r="G17" s="10"/>
      <c r="H17" s="30" t="s">
        <v>33</v>
      </c>
      <c r="I17" s="30"/>
      <c r="J17" s="30"/>
      <c r="K17" s="30"/>
      <c r="L17" s="10"/>
      <c r="M17" s="10"/>
      <c r="N17" s="77"/>
      <c r="O17" s="78"/>
      <c r="P17" s="10"/>
      <c r="S17" s="11"/>
      <c r="T17" s="1"/>
      <c r="U17" s="1"/>
      <c r="V17" s="1"/>
      <c r="W17" s="1"/>
    </row>
    <row r="18" spans="1:23" ht="13.5" thickBot="1" x14ac:dyDescent="0.25">
      <c r="A18" s="7"/>
      <c r="B18" s="30"/>
      <c r="C18" s="30"/>
      <c r="D18" s="10"/>
      <c r="E18" s="33"/>
      <c r="F18" s="33"/>
      <c r="G18" s="10"/>
      <c r="P18" s="10"/>
      <c r="Q18" s="33"/>
      <c r="R18" s="33"/>
      <c r="S18" s="11"/>
      <c r="T18" s="1"/>
      <c r="U18" s="1"/>
      <c r="V18" s="1"/>
      <c r="W18" s="1"/>
    </row>
    <row r="19" spans="1:23" ht="13.5" thickBot="1" x14ac:dyDescent="0.25">
      <c r="A19" s="7"/>
      <c r="B19" s="30" t="s">
        <v>35</v>
      </c>
      <c r="C19" s="30"/>
      <c r="D19" s="10"/>
      <c r="E19" s="46">
        <f>E13/E17</f>
        <v>0.828125</v>
      </c>
      <c r="F19" s="46"/>
      <c r="G19" s="10"/>
      <c r="H19" s="30" t="s">
        <v>27</v>
      </c>
      <c r="I19" s="30"/>
      <c r="J19" s="30"/>
      <c r="K19" s="30"/>
      <c r="L19" s="30"/>
      <c r="M19" s="10"/>
      <c r="N19" s="79"/>
      <c r="O19" s="79"/>
      <c r="P19" s="10"/>
      <c r="Q19" s="73"/>
      <c r="R19" s="70"/>
      <c r="S19" s="11"/>
      <c r="T19" s="1"/>
      <c r="U19" s="1"/>
      <c r="V19" s="1"/>
      <c r="W19" s="1"/>
    </row>
    <row r="20" spans="1:23" x14ac:dyDescent="0.2">
      <c r="A20" s="7"/>
      <c r="B20" s="10"/>
      <c r="C20" s="10"/>
      <c r="D20" s="10"/>
      <c r="E20" s="10"/>
      <c r="F20" s="10"/>
      <c r="G20" s="10"/>
      <c r="H20" s="30"/>
      <c r="I20" s="30"/>
      <c r="J20" s="30"/>
      <c r="K20" s="30"/>
      <c r="L20" s="30"/>
      <c r="M20" s="10"/>
      <c r="N20" s="30"/>
      <c r="O20" s="30"/>
      <c r="P20" s="10"/>
      <c r="Q20" s="10"/>
      <c r="R20" s="10"/>
      <c r="S20" s="11"/>
      <c r="T20" s="1"/>
      <c r="U20" s="1"/>
      <c r="V20" s="1"/>
      <c r="W20" s="1"/>
    </row>
    <row r="21" spans="1:23" ht="13.5" thickBot="1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"/>
      <c r="U21" s="1"/>
      <c r="V21" s="1"/>
      <c r="W21" s="1"/>
    </row>
    <row r="22" spans="1:23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</row>
    <row r="23" spans="1:23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</row>
    <row r="24" spans="1:2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</row>
    <row r="25" spans="1:23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</row>
    <row r="26" spans="1:2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</row>
    <row r="27" spans="1:23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</row>
    <row r="28" spans="1:2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</row>
    <row r="29" spans="1:23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</row>
    <row r="30" spans="1:2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</row>
    <row r="31" spans="1:23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</row>
    <row r="32" spans="1:23" ht="8.1" customHeight="1" thickBot="1" x14ac:dyDescent="0.25">
      <c r="A32" s="1"/>
      <c r="B32" s="2"/>
      <c r="C32" s="2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8.1" customHeight="1" x14ac:dyDescent="0.2">
      <c r="A33" s="4"/>
      <c r="B33" s="5"/>
      <c r="C33" s="5"/>
      <c r="D33" s="5"/>
      <c r="E33" s="5"/>
      <c r="F33" s="5"/>
      <c r="G33" s="5"/>
      <c r="H33" s="5"/>
      <c r="I33" s="5"/>
      <c r="J33" s="6"/>
      <c r="K33" s="1"/>
      <c r="L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7"/>
      <c r="B34" s="30" t="s">
        <v>10</v>
      </c>
      <c r="C34" s="30"/>
      <c r="D34" s="30"/>
      <c r="E34" s="30"/>
      <c r="F34" s="30"/>
      <c r="G34" s="30"/>
      <c r="H34" s="30"/>
      <c r="I34" s="30"/>
      <c r="J34" s="9"/>
      <c r="K34" s="10"/>
      <c r="L34" s="30"/>
      <c r="M34" s="30"/>
      <c r="N34" s="30"/>
      <c r="O34" s="30"/>
      <c r="P34" s="30"/>
      <c r="Q34" s="30"/>
      <c r="R34" s="30"/>
      <c r="S34" s="30"/>
      <c r="T34" s="30"/>
      <c r="U34" s="1"/>
      <c r="V34" s="1"/>
      <c r="W34" s="1"/>
    </row>
    <row r="35" spans="1:23" ht="8.1" customHeight="1" x14ac:dyDescent="0.2">
      <c r="A35" s="7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 thickBot="1" x14ac:dyDescent="0.25">
      <c r="A36" s="7"/>
      <c r="B36" s="30" t="s">
        <v>11</v>
      </c>
      <c r="C36" s="30"/>
      <c r="D36" s="30"/>
      <c r="E36" s="30"/>
      <c r="F36" s="30"/>
      <c r="G36" s="30"/>
      <c r="H36" s="30"/>
      <c r="I36" s="30"/>
      <c r="J36" s="9"/>
      <c r="K36" s="10"/>
      <c r="L36" s="10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 thickBot="1" x14ac:dyDescent="0.25">
      <c r="A37" s="7"/>
      <c r="B37" s="73">
        <v>16.2</v>
      </c>
      <c r="C37" s="70"/>
      <c r="D37" s="10"/>
      <c r="E37" s="73"/>
      <c r="F37" s="70"/>
      <c r="G37" s="10"/>
      <c r="H37" s="73"/>
      <c r="I37" s="70"/>
      <c r="J37" s="12">
        <f>IF(ISERROR(AVERAGE(B37,E37,H37)),"",AVERAGE(B37,E37,H37))</f>
        <v>16.2</v>
      </c>
      <c r="K37" s="8"/>
      <c r="L37" s="8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7"/>
      <c r="B38" s="30" t="s">
        <v>22</v>
      </c>
      <c r="C38" s="30"/>
      <c r="D38" s="30"/>
      <c r="E38" s="30"/>
      <c r="F38" s="30"/>
      <c r="G38" s="30"/>
      <c r="H38" s="30"/>
      <c r="I38" s="30"/>
      <c r="J38" s="12"/>
      <c r="K38" s="13"/>
      <c r="L38" s="13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8.1" customHeight="1" x14ac:dyDescent="0.2">
      <c r="A39" s="7"/>
      <c r="B39" s="30"/>
      <c r="C39" s="30"/>
      <c r="D39" s="30"/>
      <c r="E39" s="30"/>
      <c r="F39" s="30"/>
      <c r="G39" s="30"/>
      <c r="H39" s="30"/>
      <c r="I39" s="30"/>
      <c r="J39" s="12"/>
      <c r="K39" s="13"/>
      <c r="L39" s="13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thickBot="1" x14ac:dyDescent="0.25">
      <c r="A40" s="7"/>
      <c r="B40" s="30" t="s">
        <v>12</v>
      </c>
      <c r="C40" s="30"/>
      <c r="D40" s="30"/>
      <c r="E40" s="30"/>
      <c r="F40" s="30"/>
      <c r="G40" s="30"/>
      <c r="H40" s="30"/>
      <c r="I40" s="30"/>
      <c r="J40" s="12"/>
      <c r="K40" s="13"/>
      <c r="L40" s="13"/>
      <c r="M40" s="54" t="s">
        <v>40</v>
      </c>
      <c r="N40" s="54"/>
      <c r="O40" s="54"/>
      <c r="P40" s="54"/>
      <c r="Q40" s="54"/>
      <c r="R40" s="54"/>
      <c r="S40" s="54"/>
      <c r="T40" s="54"/>
      <c r="U40" s="1"/>
      <c r="V40" s="1"/>
      <c r="W40" s="1"/>
    </row>
    <row r="41" spans="1:23" ht="13.5" thickBot="1" x14ac:dyDescent="0.25">
      <c r="A41" s="7"/>
      <c r="B41" s="73">
        <v>24.6</v>
      </c>
      <c r="C41" s="70"/>
      <c r="D41" s="10"/>
      <c r="E41" s="73"/>
      <c r="F41" s="70"/>
      <c r="G41" s="10"/>
      <c r="H41" s="73"/>
      <c r="I41" s="70"/>
      <c r="J41" s="12">
        <f>IF(ISERROR(AVERAGE(B41,E41,H41)),"",AVERAGE(B41,E41,H41))</f>
        <v>24.6</v>
      </c>
      <c r="K41" s="13"/>
      <c r="L41" s="13"/>
      <c r="M41" s="54"/>
      <c r="N41" s="54"/>
      <c r="O41" s="54"/>
      <c r="P41" s="54"/>
      <c r="Q41" s="54"/>
      <c r="R41" s="54"/>
      <c r="S41" s="54"/>
      <c r="T41" s="54"/>
      <c r="U41" s="48"/>
      <c r="V41" s="1"/>
      <c r="W41" s="1"/>
    </row>
    <row r="42" spans="1:23" x14ac:dyDescent="0.2">
      <c r="A42" s="7"/>
      <c r="B42" s="30" t="s">
        <v>22</v>
      </c>
      <c r="C42" s="30"/>
      <c r="D42" s="30"/>
      <c r="E42" s="30"/>
      <c r="F42" s="30"/>
      <c r="G42" s="30"/>
      <c r="H42" s="30"/>
      <c r="I42" s="30"/>
      <c r="J42" s="12"/>
      <c r="K42" s="13"/>
      <c r="L42" s="13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8.1" customHeight="1" x14ac:dyDescent="0.2">
      <c r="A43" s="7"/>
      <c r="B43" s="10"/>
      <c r="C43" s="10"/>
      <c r="D43" s="10"/>
      <c r="E43" s="10"/>
      <c r="F43" s="10"/>
      <c r="G43" s="10"/>
      <c r="H43" s="10"/>
      <c r="I43" s="10"/>
      <c r="J43" s="14"/>
      <c r="K43" s="13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thickBot="1" x14ac:dyDescent="0.25">
      <c r="A44" s="7"/>
      <c r="B44" s="30" t="s">
        <v>13</v>
      </c>
      <c r="C44" s="30"/>
      <c r="D44" s="30"/>
      <c r="E44" s="30"/>
      <c r="F44" s="30"/>
      <c r="G44" s="30"/>
      <c r="H44" s="30"/>
      <c r="I44" s="30"/>
      <c r="J44" s="12"/>
      <c r="K44" s="15"/>
      <c r="L44" s="1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thickBot="1" x14ac:dyDescent="0.25">
      <c r="A45" s="7"/>
      <c r="B45" s="73">
        <v>21.4</v>
      </c>
      <c r="C45" s="70"/>
      <c r="D45" s="10"/>
      <c r="E45" s="73"/>
      <c r="F45" s="70"/>
      <c r="G45" s="10"/>
      <c r="H45" s="73"/>
      <c r="I45" s="70"/>
      <c r="J45" s="12">
        <f>IF(ISERROR(AVERAGE(B45,E45,H45)),"",AVERAGE(B45,E45,H45))</f>
        <v>21.4</v>
      </c>
      <c r="K45" s="13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7"/>
      <c r="B46" s="30" t="s">
        <v>22</v>
      </c>
      <c r="C46" s="30"/>
      <c r="D46" s="30"/>
      <c r="E46" s="30"/>
      <c r="F46" s="30"/>
      <c r="G46" s="30"/>
      <c r="H46" s="30"/>
      <c r="I46" s="30"/>
      <c r="J46" s="12"/>
      <c r="K46" s="13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8.1" customHeight="1" x14ac:dyDescent="0.2">
      <c r="A47" s="7"/>
      <c r="B47" s="10"/>
      <c r="C47" s="10"/>
      <c r="D47" s="10"/>
      <c r="E47" s="10"/>
      <c r="F47" s="10"/>
      <c r="G47" s="10"/>
      <c r="H47" s="10"/>
      <c r="I47" s="10"/>
      <c r="J47" s="14"/>
      <c r="K47" s="13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thickBot="1" x14ac:dyDescent="0.25">
      <c r="A48" s="7"/>
      <c r="B48" s="30" t="s">
        <v>14</v>
      </c>
      <c r="C48" s="30"/>
      <c r="D48" s="30"/>
      <c r="E48" s="30"/>
      <c r="F48" s="30"/>
      <c r="G48" s="30"/>
      <c r="H48" s="30"/>
      <c r="I48" s="30"/>
      <c r="J48" s="12"/>
      <c r="K48" s="15"/>
      <c r="L48" s="1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thickBot="1" x14ac:dyDescent="0.25">
      <c r="A49" s="7"/>
      <c r="B49" s="73">
        <v>8.8000000000000007</v>
      </c>
      <c r="C49" s="70"/>
      <c r="D49" s="10"/>
      <c r="E49" s="73"/>
      <c r="F49" s="70"/>
      <c r="G49" s="10"/>
      <c r="H49" s="73"/>
      <c r="I49" s="70"/>
      <c r="J49" s="12">
        <f>IF(ISERROR(AVERAGE(B49,E49,H49)),"",AVERAGE(B49,E49,H49))</f>
        <v>8.8000000000000007</v>
      </c>
      <c r="K49" s="13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7"/>
      <c r="B50" s="30" t="s">
        <v>22</v>
      </c>
      <c r="C50" s="30"/>
      <c r="D50" s="30"/>
      <c r="E50" s="30"/>
      <c r="F50" s="30"/>
      <c r="G50" s="30"/>
      <c r="H50" s="30"/>
      <c r="I50" s="30"/>
      <c r="J50" s="12"/>
      <c r="K50" s="13"/>
      <c r="L50" s="13"/>
      <c r="M50" s="31"/>
      <c r="N50" s="31"/>
      <c r="O50" s="31"/>
      <c r="P50" s="31"/>
      <c r="Q50" s="31"/>
      <c r="R50" s="31"/>
      <c r="S50" s="31"/>
      <c r="T50" s="31"/>
      <c r="U50" s="1"/>
      <c r="V50" s="1"/>
      <c r="W50" s="1"/>
    </row>
    <row r="51" spans="1:23" ht="8.1" customHeight="1" x14ac:dyDescent="0.2">
      <c r="A51" s="7"/>
      <c r="B51" s="10"/>
      <c r="C51" s="10"/>
      <c r="D51" s="10"/>
      <c r="E51" s="10"/>
      <c r="F51" s="10"/>
      <c r="G51" s="10"/>
      <c r="H51" s="10"/>
      <c r="I51" s="10"/>
      <c r="J51" s="14"/>
      <c r="K51" s="13"/>
      <c r="L51" s="1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thickBot="1" x14ac:dyDescent="0.25">
      <c r="A52" s="7"/>
      <c r="B52" s="30" t="s">
        <v>15</v>
      </c>
      <c r="C52" s="30"/>
      <c r="D52" s="30"/>
      <c r="E52" s="30"/>
      <c r="F52" s="30"/>
      <c r="G52" s="30"/>
      <c r="H52" s="30"/>
      <c r="I52" s="30"/>
      <c r="J52" s="12"/>
      <c r="K52" s="15"/>
      <c r="L52" s="1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 thickBot="1" x14ac:dyDescent="0.25">
      <c r="A53" s="7"/>
      <c r="B53" s="73">
        <v>16.2</v>
      </c>
      <c r="C53" s="70"/>
      <c r="D53" s="10"/>
      <c r="E53" s="73"/>
      <c r="F53" s="70"/>
      <c r="G53" s="10"/>
      <c r="H53" s="73"/>
      <c r="I53" s="70"/>
      <c r="J53" s="12">
        <f>IF(ISERROR(AVERAGE(B53,E53,H53)),"",AVERAGE(B53,E53,H53))</f>
        <v>16.2</v>
      </c>
      <c r="K53" s="13"/>
      <c r="L53" s="1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7"/>
      <c r="B54" s="30" t="s">
        <v>22</v>
      </c>
      <c r="C54" s="30"/>
      <c r="D54" s="30"/>
      <c r="E54" s="30"/>
      <c r="F54" s="30"/>
      <c r="G54" s="30"/>
      <c r="H54" s="30"/>
      <c r="I54" s="30"/>
      <c r="J54" s="12"/>
      <c r="K54" s="13"/>
      <c r="L54" s="1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8.1" customHeight="1" x14ac:dyDescent="0.2">
      <c r="A55" s="7"/>
      <c r="B55" s="10"/>
      <c r="C55" s="10"/>
      <c r="D55" s="10"/>
      <c r="E55" s="10"/>
      <c r="F55" s="10"/>
      <c r="G55" s="10"/>
      <c r="H55" s="10"/>
      <c r="I55" s="10"/>
      <c r="J55" s="14"/>
      <c r="K55" s="13"/>
      <c r="L55" s="1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thickBot="1" x14ac:dyDescent="0.25">
      <c r="A56" s="7"/>
      <c r="B56" s="30" t="s">
        <v>16</v>
      </c>
      <c r="C56" s="30"/>
      <c r="D56" s="30"/>
      <c r="E56" s="30"/>
      <c r="F56" s="30"/>
      <c r="G56" s="30"/>
      <c r="H56" s="30"/>
      <c r="I56" s="30"/>
      <c r="J56" s="12"/>
      <c r="K56" s="15"/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thickBot="1" x14ac:dyDescent="0.25">
      <c r="A57" s="7"/>
      <c r="B57" s="73">
        <v>14.8</v>
      </c>
      <c r="C57" s="70"/>
      <c r="D57" s="10"/>
      <c r="E57" s="73"/>
      <c r="F57" s="70"/>
      <c r="G57" s="10"/>
      <c r="H57" s="73"/>
      <c r="I57" s="70"/>
      <c r="J57" s="12">
        <f>IF(ISERROR(AVERAGE(B57,E57,H57)),"",AVERAGE(B57,E57,H57))</f>
        <v>14.8</v>
      </c>
      <c r="K57" s="13"/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7"/>
      <c r="B58" s="30" t="s">
        <v>22</v>
      </c>
      <c r="C58" s="30"/>
      <c r="D58" s="30"/>
      <c r="E58" s="30"/>
      <c r="F58" s="30"/>
      <c r="G58" s="30"/>
      <c r="H58" s="30"/>
      <c r="I58" s="30"/>
      <c r="J58" s="12"/>
      <c r="K58" s="13"/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8.1" customHeight="1" x14ac:dyDescent="0.2">
      <c r="A59" s="7"/>
      <c r="B59" s="10"/>
      <c r="C59" s="10"/>
      <c r="D59" s="10"/>
      <c r="E59" s="10"/>
      <c r="F59" s="10"/>
      <c r="G59" s="10"/>
      <c r="H59" s="10"/>
      <c r="I59" s="10"/>
      <c r="J59" s="14"/>
      <c r="K59" s="13"/>
      <c r="L59" s="1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5" thickBot="1" x14ac:dyDescent="0.25">
      <c r="A60" s="7"/>
      <c r="B60" s="30" t="s">
        <v>17</v>
      </c>
      <c r="C60" s="30"/>
      <c r="D60" s="30"/>
      <c r="E60" s="30"/>
      <c r="F60" s="30"/>
      <c r="G60" s="30"/>
      <c r="H60" s="30"/>
      <c r="I60" s="30"/>
      <c r="J60" s="12"/>
      <c r="K60" s="15"/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.5" thickBot="1" x14ac:dyDescent="0.25">
      <c r="A61" s="7"/>
      <c r="B61" s="73">
        <v>12.5</v>
      </c>
      <c r="C61" s="70"/>
      <c r="D61" s="10"/>
      <c r="E61" s="73"/>
      <c r="F61" s="70"/>
      <c r="G61" s="10"/>
      <c r="H61" s="73"/>
      <c r="I61" s="70"/>
      <c r="J61" s="12">
        <f>IF(ISERROR(AVERAGE(B61,E61,H61)),"",AVERAGE(B61,E61,H61))</f>
        <v>12.5</v>
      </c>
      <c r="K61" s="13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7"/>
      <c r="B62" s="30" t="s">
        <v>22</v>
      </c>
      <c r="C62" s="30"/>
      <c r="D62" s="30"/>
      <c r="E62" s="30"/>
      <c r="F62" s="30"/>
      <c r="G62" s="30"/>
      <c r="H62" s="30"/>
      <c r="I62" s="30"/>
      <c r="J62" s="9"/>
      <c r="K62" s="13"/>
      <c r="L62" s="1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8.1" customHeight="1" thickBot="1" x14ac:dyDescent="0.25">
      <c r="A63" s="16"/>
      <c r="B63" s="17"/>
      <c r="C63" s="17"/>
      <c r="D63" s="17"/>
      <c r="E63" s="17"/>
      <c r="F63" s="17"/>
      <c r="G63" s="17"/>
      <c r="H63" s="17"/>
      <c r="I63" s="17"/>
      <c r="J63" s="18"/>
      <c r="K63" s="8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8.1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8"/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4" ht="8.1" customHeight="1" thickBo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0"/>
      <c r="L65" s="1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4" ht="13.5" thickBot="1" x14ac:dyDescent="0.25">
      <c r="A66" s="1"/>
      <c r="B66" s="31" t="s">
        <v>18</v>
      </c>
      <c r="C66" s="31"/>
      <c r="D66" s="31"/>
      <c r="E66" s="31"/>
      <c r="F66" s="31"/>
      <c r="G66" s="1"/>
      <c r="H66" s="19">
        <f>IF(ISERROR((4.95/(1.112-(0.00043499*(SUM(J61,J57,J53,J49,J45,J41,J37)))+(0.00000055*((SUM(J61,J57,J53,J49,J45,J41,J37))^2))-(0.00028826*K6))-4.5)*100),"",(4.95/(1.112-(0.00043499*(SUM(J61,J57,J53,J49,J45,J41,J37)))+(0.00000055*((SUM(J61,J57,J53,J49,J45,J41,J37))^2))-(0.00028826*K6))-4.5)*100)</f>
        <v>16.901863371144366</v>
      </c>
      <c r="I66" s="20" t="s">
        <v>19</v>
      </c>
      <c r="J66" s="1"/>
      <c r="K66" s="31" t="s">
        <v>20</v>
      </c>
      <c r="L66" s="31"/>
      <c r="M66" s="31"/>
      <c r="N66" s="31"/>
      <c r="O66" s="31"/>
      <c r="P66" s="1"/>
      <c r="Q66" s="59">
        <f>IF(ISERROR(703*(E6/(E8^2))),"",703*(E6/(E8^2)))</f>
        <v>23.745543253893789</v>
      </c>
      <c r="R66" s="60"/>
      <c r="S66" s="1"/>
      <c r="T66" s="1"/>
      <c r="U66" s="1"/>
      <c r="V66" s="1"/>
      <c r="W66" s="1"/>
    </row>
    <row r="67" spans="1:24" ht="13.5" thickBot="1" x14ac:dyDescent="0.25">
      <c r="A67" s="1"/>
      <c r="B67" s="2"/>
      <c r="C67" s="2"/>
      <c r="D67" s="2"/>
      <c r="E67" s="2"/>
      <c r="F67" s="2"/>
      <c r="G67" s="1"/>
      <c r="H67" s="21"/>
      <c r="I67" s="51"/>
      <c r="J67" s="1"/>
      <c r="K67" s="2"/>
      <c r="L67" s="2"/>
      <c r="M67" s="2"/>
      <c r="N67" s="2"/>
      <c r="O67" s="2"/>
      <c r="P67" s="1"/>
      <c r="Q67" s="8"/>
      <c r="R67" s="8"/>
      <c r="S67" s="1"/>
      <c r="T67" s="1"/>
      <c r="U67" s="1"/>
      <c r="V67" s="1"/>
      <c r="W67" s="1"/>
    </row>
    <row r="68" spans="1:24" ht="13.5" thickBot="1" x14ac:dyDescent="0.25">
      <c r="A68" s="1"/>
      <c r="B68" s="31" t="s">
        <v>37</v>
      </c>
      <c r="C68" s="31"/>
      <c r="D68" s="31"/>
      <c r="E68" s="31"/>
      <c r="F68" s="31"/>
      <c r="G68" s="1"/>
      <c r="H68" s="57">
        <f>E6*(100-H66)*0.01</f>
        <v>149.57664593194013</v>
      </c>
      <c r="I68" s="52" t="s">
        <v>4</v>
      </c>
      <c r="J68" s="1"/>
      <c r="K68" s="31" t="s">
        <v>21</v>
      </c>
      <c r="L68" s="31"/>
      <c r="M68" s="31"/>
      <c r="N68" s="31"/>
      <c r="O68" s="31"/>
      <c r="P68" s="1"/>
      <c r="Q68" s="56">
        <f xml:space="preserve"> (10*E6/2.2)+(6.25*E8*2.54)-(5*K6)+5</f>
        <v>1822.056818181818</v>
      </c>
      <c r="R68" s="47" t="s">
        <v>38</v>
      </c>
      <c r="S68" s="1"/>
      <c r="T68" s="1"/>
      <c r="U68" s="1"/>
      <c r="V68" s="1"/>
      <c r="W68" s="1"/>
    </row>
    <row r="69" spans="1:24" ht="8.1" customHeight="1" thickBot="1" x14ac:dyDescent="0.25">
      <c r="A69" s="1"/>
      <c r="B69" s="2"/>
      <c r="C69" s="2"/>
      <c r="D69" s="2"/>
      <c r="E69" s="2"/>
      <c r="F69" s="2"/>
      <c r="G69" s="1"/>
      <c r="H69" s="21"/>
      <c r="I69" s="22"/>
      <c r="J69" s="1"/>
      <c r="K69" s="1"/>
      <c r="L69" s="1"/>
      <c r="M69" s="1"/>
      <c r="N69" s="1"/>
      <c r="O69" s="1"/>
      <c r="P69" s="1"/>
      <c r="Q69" s="10"/>
      <c r="R69" s="1"/>
      <c r="S69" s="1"/>
      <c r="T69" s="1"/>
      <c r="U69" s="1"/>
      <c r="V69" s="1"/>
      <c r="W69" s="1"/>
    </row>
    <row r="70" spans="1:24" ht="13.5" thickBot="1" x14ac:dyDescent="0.25">
      <c r="A70" s="1"/>
      <c r="C70" s="45" t="s">
        <v>39</v>
      </c>
      <c r="D70" s="40"/>
      <c r="E70" s="40"/>
      <c r="G70" s="1"/>
      <c r="H70" s="58">
        <f>E6-H68</f>
        <v>30.423354068059865</v>
      </c>
      <c r="I70" s="53" t="s">
        <v>4</v>
      </c>
      <c r="J70" s="1"/>
      <c r="K70" s="38" t="s">
        <v>41</v>
      </c>
      <c r="L70" s="36"/>
      <c r="M70" s="36"/>
      <c r="N70" s="36"/>
      <c r="O70" s="36"/>
      <c r="P70" s="1"/>
      <c r="Q70" s="81" t="s">
        <v>45</v>
      </c>
      <c r="R70" s="81"/>
      <c r="S70" s="81"/>
      <c r="T70" s="81"/>
      <c r="U70" s="81"/>
      <c r="V70" s="81"/>
      <c r="W70" s="81"/>
      <c r="X70" s="80"/>
    </row>
    <row r="71" spans="1:24" x14ac:dyDescent="0.2">
      <c r="A71" s="1"/>
      <c r="C71" s="49"/>
      <c r="D71" s="39"/>
      <c r="E71" s="39"/>
      <c r="G71" s="1"/>
      <c r="H71" s="61"/>
      <c r="I71" s="25"/>
      <c r="J71" s="1"/>
      <c r="K71" s="26"/>
      <c r="L71" s="24"/>
      <c r="M71" s="24"/>
      <c r="N71" s="24"/>
      <c r="O71" s="24"/>
      <c r="P71" s="1"/>
      <c r="Q71" s="62"/>
      <c r="R71" s="62"/>
      <c r="S71" s="62"/>
      <c r="T71" s="62"/>
      <c r="U71" s="1"/>
      <c r="V71" s="1"/>
      <c r="W71" s="1"/>
    </row>
    <row r="72" spans="1:24" x14ac:dyDescent="0.2">
      <c r="A72" s="1"/>
      <c r="C72" s="49"/>
      <c r="D72" s="39"/>
      <c r="E72" s="39"/>
      <c r="G72" s="1"/>
      <c r="H72" s="61"/>
      <c r="I72" s="25"/>
      <c r="J72" s="1"/>
      <c r="K72" s="26"/>
      <c r="L72" s="24"/>
      <c r="M72" s="24"/>
      <c r="N72" s="24"/>
      <c r="O72" s="24"/>
      <c r="P72" s="1"/>
      <c r="Q72" s="63" t="s">
        <v>50</v>
      </c>
      <c r="R72" s="63"/>
      <c r="S72" s="63"/>
      <c r="T72" s="63"/>
      <c r="U72" s="1"/>
      <c r="V72" s="1"/>
      <c r="W72" s="1"/>
    </row>
    <row r="73" spans="1:24" ht="13.5" thickBot="1" x14ac:dyDescent="0.25">
      <c r="A73" s="1"/>
      <c r="B73" s="2"/>
      <c r="C73" s="2"/>
      <c r="D73" s="2"/>
      <c r="E73" s="2"/>
      <c r="F73" s="2"/>
      <c r="G73" s="1"/>
      <c r="H73" s="50"/>
      <c r="I73" s="50"/>
      <c r="J73" s="1"/>
      <c r="K73" s="24"/>
      <c r="L73" s="26"/>
      <c r="M73" s="24"/>
      <c r="N73" s="24"/>
      <c r="O73" s="24"/>
      <c r="P73" s="1"/>
      <c r="Q73" s="10"/>
      <c r="R73" s="25"/>
      <c r="S73" s="1"/>
      <c r="T73" s="1"/>
      <c r="U73" s="1"/>
      <c r="V73" s="1"/>
      <c r="W73" s="1"/>
    </row>
    <row r="74" spans="1:24" ht="13.5" thickBot="1" x14ac:dyDescent="0.25">
      <c r="A74" s="55"/>
      <c r="B74" s="32" t="s">
        <v>47</v>
      </c>
      <c r="C74" s="32"/>
      <c r="D74" s="32"/>
      <c r="E74" s="32"/>
      <c r="F74" s="32"/>
      <c r="G74" s="55"/>
      <c r="H74" s="55">
        <f>VLOOKUP(Q70,Multiplier,2,FALSE)*Q68</f>
        <v>3143.0480113636363</v>
      </c>
      <c r="I74" s="55" t="s">
        <v>38</v>
      </c>
      <c r="J74" s="55"/>
      <c r="K74" s="32" t="s">
        <v>51</v>
      </c>
      <c r="L74" s="32"/>
      <c r="M74" s="32"/>
      <c r="N74" s="32"/>
      <c r="O74" s="32"/>
      <c r="P74" s="32"/>
      <c r="Q74" s="32"/>
      <c r="R74" s="66">
        <f>H74*0.75</f>
        <v>2357.2860085227271</v>
      </c>
      <c r="S74" s="64" t="s">
        <v>53</v>
      </c>
      <c r="T74" s="66">
        <f>H74*0.85</f>
        <v>2671.5908096590906</v>
      </c>
      <c r="V74" s="1"/>
      <c r="W74" s="1"/>
    </row>
    <row r="75" spans="1:24" ht="13.5" thickBo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32" t="s">
        <v>52</v>
      </c>
      <c r="L75" s="32"/>
      <c r="M75" s="32"/>
      <c r="N75" s="32"/>
      <c r="O75" s="32"/>
      <c r="P75" s="32"/>
      <c r="Q75" s="32"/>
      <c r="R75" s="66">
        <f>H74*1.15</f>
        <v>3614.5052130681815</v>
      </c>
      <c r="S75" s="65" t="s">
        <v>53</v>
      </c>
      <c r="T75" s="67">
        <f>H74*1.25</f>
        <v>3928.8100142045455</v>
      </c>
      <c r="V75" s="1"/>
      <c r="W75" s="1"/>
    </row>
    <row r="76" spans="1:24" ht="8.1" customHeight="1" x14ac:dyDescent="0.2">
      <c r="V76" s="1"/>
      <c r="W76" s="1"/>
    </row>
    <row r="77" spans="1:24" ht="8.1" customHeight="1" x14ac:dyDescent="0.2">
      <c r="V77" s="1"/>
      <c r="W77" s="1"/>
    </row>
    <row r="78" spans="1:24" x14ac:dyDescent="0.2">
      <c r="V78" s="1"/>
      <c r="W78" s="1"/>
    </row>
    <row r="79" spans="1:24" ht="8.1" customHeight="1" x14ac:dyDescent="0.2">
      <c r="V79" s="1"/>
      <c r="W79" s="1"/>
    </row>
    <row r="80" spans="1:24" x14ac:dyDescent="0.2">
      <c r="V80" s="1"/>
      <c r="W80" s="1"/>
    </row>
    <row r="81" spans="1:23" ht="8.1" customHeight="1" x14ac:dyDescent="0.2">
      <c r="U81" s="1"/>
      <c r="V81" s="1"/>
      <c r="W81" s="1"/>
    </row>
    <row r="82" spans="1:23" x14ac:dyDescent="0.2">
      <c r="U82" s="1"/>
      <c r="V82" s="1"/>
      <c r="W82" s="1"/>
    </row>
    <row r="83" spans="1:23" ht="8.1" customHeight="1" x14ac:dyDescent="0.2">
      <c r="U83" s="1"/>
      <c r="V83" s="1"/>
      <c r="W83" s="1"/>
    </row>
    <row r="84" spans="1:23" ht="14.25" customHeight="1" x14ac:dyDescent="0.2">
      <c r="U84" s="1"/>
      <c r="V84" s="1"/>
      <c r="W84" s="1"/>
    </row>
    <row r="85" spans="1:23" x14ac:dyDescent="0.2">
      <c r="U85" s="1"/>
      <c r="V85" s="1"/>
      <c r="W85" s="1"/>
    </row>
    <row r="86" spans="1:23" ht="8.1" customHeight="1" x14ac:dyDescent="0.2">
      <c r="U86" s="1"/>
      <c r="V86" s="1"/>
      <c r="W86" s="1"/>
    </row>
    <row r="87" spans="1:23" ht="8.1" customHeight="1" x14ac:dyDescent="0.2">
      <c r="U87" s="1"/>
      <c r="V87" s="1"/>
      <c r="W87" s="1"/>
    </row>
    <row r="88" spans="1:23" ht="8.1" customHeight="1" x14ac:dyDescent="0.2">
      <c r="U88" s="1"/>
      <c r="V88" s="1"/>
      <c r="W88" s="1"/>
    </row>
    <row r="89" spans="1:23" ht="8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</sheetData>
  <sheetProtection algorithmName="SHA-512" hashValue="AFpiEGm+08vgcgYGyJE70vSJAhB82Tjvhj6C4sckRYCZXOOYRsF5EnKngZ1bzfSVUtqrV0su7+2dtAGuPXc6UQ==" saltValue="0Ip0AykmQpo/K4kOGuWt9w==" spinCount="100000" sheet="1" objects="1" scenarios="1" selectLockedCells="1"/>
  <mergeCells count="91">
    <mergeCell ref="K75:Q75"/>
    <mergeCell ref="C70:E70"/>
    <mergeCell ref="K70:O70"/>
    <mergeCell ref="Q70:W70"/>
    <mergeCell ref="Q72:T72"/>
    <mergeCell ref="B74:F74"/>
    <mergeCell ref="K74:Q74"/>
    <mergeCell ref="B62:I62"/>
    <mergeCell ref="B66:F66"/>
    <mergeCell ref="K66:O66"/>
    <mergeCell ref="Q66:R66"/>
    <mergeCell ref="B68:F68"/>
    <mergeCell ref="K68:O68"/>
    <mergeCell ref="B57:C57"/>
    <mergeCell ref="E57:F57"/>
    <mergeCell ref="H57:I57"/>
    <mergeCell ref="B58:I58"/>
    <mergeCell ref="B60:I60"/>
    <mergeCell ref="B61:C61"/>
    <mergeCell ref="E61:F61"/>
    <mergeCell ref="H61:I61"/>
    <mergeCell ref="B52:I52"/>
    <mergeCell ref="B53:C53"/>
    <mergeCell ref="E53:F53"/>
    <mergeCell ref="H53:I53"/>
    <mergeCell ref="B54:I54"/>
    <mergeCell ref="B56:I56"/>
    <mergeCell ref="B48:I48"/>
    <mergeCell ref="B49:C49"/>
    <mergeCell ref="E49:F49"/>
    <mergeCell ref="H49:I49"/>
    <mergeCell ref="B50:I50"/>
    <mergeCell ref="M50:T50"/>
    <mergeCell ref="B42:I42"/>
    <mergeCell ref="B44:I44"/>
    <mergeCell ref="B45:C45"/>
    <mergeCell ref="E45:F45"/>
    <mergeCell ref="H45:I45"/>
    <mergeCell ref="B46:I46"/>
    <mergeCell ref="B38:I38"/>
    <mergeCell ref="B39:I39"/>
    <mergeCell ref="B40:I40"/>
    <mergeCell ref="M40:T41"/>
    <mergeCell ref="B41:C41"/>
    <mergeCell ref="E41:F41"/>
    <mergeCell ref="H41:I41"/>
    <mergeCell ref="H20:L20"/>
    <mergeCell ref="N20:O20"/>
    <mergeCell ref="B34:I34"/>
    <mergeCell ref="L34:T34"/>
    <mergeCell ref="B36:I36"/>
    <mergeCell ref="B37:C37"/>
    <mergeCell ref="E37:F37"/>
    <mergeCell ref="H37:I37"/>
    <mergeCell ref="B18:C18"/>
    <mergeCell ref="E18:F18"/>
    <mergeCell ref="Q18:R18"/>
    <mergeCell ref="B19:C19"/>
    <mergeCell ref="E19:F19"/>
    <mergeCell ref="H19:L19"/>
    <mergeCell ref="N19:O19"/>
    <mergeCell ref="Q19:R19"/>
    <mergeCell ref="B15:C15"/>
    <mergeCell ref="E15:F15"/>
    <mergeCell ref="H15:K15"/>
    <mergeCell ref="N15:O15"/>
    <mergeCell ref="B17:C17"/>
    <mergeCell ref="E17:F17"/>
    <mergeCell ref="H17:K17"/>
    <mergeCell ref="N17:O17"/>
    <mergeCell ref="B11:L11"/>
    <mergeCell ref="N11:O11"/>
    <mergeCell ref="Q11:R11"/>
    <mergeCell ref="B13:C13"/>
    <mergeCell ref="E13:F13"/>
    <mergeCell ref="H13:L13"/>
    <mergeCell ref="N13:O13"/>
    <mergeCell ref="Q13:R13"/>
    <mergeCell ref="P4:U6"/>
    <mergeCell ref="B6:C6"/>
    <mergeCell ref="H6:I6"/>
    <mergeCell ref="L6:M6"/>
    <mergeCell ref="B8:C8"/>
    <mergeCell ref="H8:I8"/>
    <mergeCell ref="L8:M8"/>
    <mergeCell ref="B2:C2"/>
    <mergeCell ref="E2:M2"/>
    <mergeCell ref="B4:C4"/>
    <mergeCell ref="E4:F4"/>
    <mergeCell ref="H4:I4"/>
    <mergeCell ref="L4:M4"/>
  </mergeCells>
  <conditionalFormatting sqref="H63:H65 K3:K7 L3:L9 M3:W3 Q66:Q67 B63:G67 A3:J9 I63:I72 M7:W9 M5:O5 N4:P4 N6:O6 V4:W6 A15 K32:W32 B32:I62 U81:W88 A89:W89 A10:R14 S10:W31 K43:W49 K33:L42 N33:W33 N35:W39 U34:W34 K51:W65 K50:M50 U50:W50 S75:T75 V74:W80 A16:R16 A20:R31 A18:G18 G15 A17:H17 L17:N17 P17:R18 A19:B19 D19:E19 G19:R19 G68 B68 B69:H69 K66:P72 R69 A32:A72 J32:J72 S66:W69 A73:B73 G70:G73 J73:L73 O73:P73 N42:W42 V41:W41 U40:W40 U71:W72 R73:W73">
    <cfRule type="expression" dxfId="7" priority="2" stopIfTrue="1">
      <formula>iserror</formula>
    </cfRule>
  </conditionalFormatting>
  <conditionalFormatting sqref="H66:H67 K8:K9">
    <cfRule type="cellIs" dxfId="6" priority="3" stopIfTrue="1" operator="lessThanOrEqual">
      <formula>0</formula>
    </cfRule>
  </conditionalFormatting>
  <conditionalFormatting sqref="Q68:Q69 H73">
    <cfRule type="cellIs" dxfId="5" priority="4" stopIfTrue="1" operator="lessThanOrEqual">
      <formula>500</formula>
    </cfRule>
  </conditionalFormatting>
  <conditionalFormatting sqref="Q70:Q71 Q73">
    <cfRule type="cellIs" dxfId="4" priority="5" stopIfTrue="1" operator="lessThanOrEqual">
      <formula>750</formula>
    </cfRule>
  </conditionalFormatting>
  <pageMargins left="0.7" right="0.7" top="0.75" bottom="0.75" header="0.3" footer="0.3"/>
  <pageSetup scale="77" orientation="portrait" verticalDpi="12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7C03B8A-FECA-4463-952C-A0AB44E1CC8A}">
            <x14:iconSet iconSet="4TrafficLights" custom="1">
              <x14:cfvo type="percent">
                <xm:f>0</xm:f>
              </x14:cfvo>
              <x14:cfvo type="num">
                <xm:f>8</xm:f>
              </x14:cfvo>
              <x14:cfvo type="num">
                <xm:f>17</xm:f>
              </x14:cfvo>
              <x14:cfvo type="num">
                <xm:f>25</xm:f>
              </x14:cfvo>
              <x14:cfIcon iconSet="3TrafficLights1" iconId="0"/>
              <x14:cfIcon iconSet="3TrafficLights1" iconId="2"/>
              <x14:cfIcon iconSet="3TrafficLights1" iconId="1"/>
              <x14:cfIcon iconSet="3TrafficLights1" iconId="0"/>
            </x14:iconSet>
          </x14:cfRule>
          <xm:sqref>H66:H67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'Activity Multiplier'!$A$2:$A$6</xm:f>
          </x14:formula1>
          <xm:sqref>Q70:Q71 R71:T71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showGridLines="0" topLeftCell="A47" zoomScaleNormal="100" workbookViewId="0">
      <selection activeCell="Q19" sqref="Q19:R19"/>
    </sheetView>
  </sheetViews>
  <sheetFormatPr defaultRowHeight="12.75" x14ac:dyDescent="0.2"/>
  <cols>
    <col min="1" max="1" width="1.7109375" customWidth="1"/>
    <col min="2" max="3" width="4.7109375" customWidth="1"/>
    <col min="4" max="4" width="1.7109375" customWidth="1"/>
    <col min="5" max="5" width="5.42578125" customWidth="1"/>
    <col min="6" max="6" width="5.28515625" customWidth="1"/>
    <col min="7" max="7" width="1.7109375" customWidth="1"/>
    <col min="8" max="8" width="7.42578125" customWidth="1"/>
    <col min="9" max="9" width="4.7109375" customWidth="1"/>
    <col min="10" max="10" width="1.7109375" customWidth="1"/>
    <col min="11" max="11" width="4.7109375" customWidth="1"/>
    <col min="12" max="12" width="1.7109375" customWidth="1"/>
    <col min="13" max="13" width="2.28515625" customWidth="1"/>
    <col min="14" max="14" width="4.7109375" customWidth="1"/>
    <col min="15" max="15" width="7.85546875" customWidth="1"/>
    <col min="16" max="16" width="4.42578125" customWidth="1"/>
    <col min="17" max="17" width="6.85546875" customWidth="1"/>
    <col min="18" max="18" width="6.140625" customWidth="1"/>
    <col min="19" max="19" width="4.5703125" customWidth="1"/>
    <col min="20" max="20" width="6.42578125" customWidth="1"/>
    <col min="22" max="22" width="8.140625" customWidth="1"/>
    <col min="23" max="23" width="1.7109375" customWidth="1"/>
  </cols>
  <sheetData>
    <row r="1" spans="1:23" ht="13.5" thickBot="1" x14ac:dyDescent="0.25"/>
    <row r="2" spans="1:23" ht="13.5" thickBot="1" x14ac:dyDescent="0.25">
      <c r="B2" s="45" t="s">
        <v>36</v>
      </c>
      <c r="C2" s="45"/>
      <c r="D2" s="48"/>
      <c r="E2" s="68"/>
      <c r="F2" s="68"/>
      <c r="G2" s="68"/>
      <c r="H2" s="68"/>
      <c r="I2" s="68"/>
      <c r="J2" s="68"/>
      <c r="K2" s="68"/>
      <c r="L2" s="68"/>
      <c r="M2" s="68"/>
    </row>
    <row r="3" spans="1:23" ht="8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thickBot="1" x14ac:dyDescent="0.25">
      <c r="A4" s="1"/>
      <c r="B4" s="31" t="s">
        <v>0</v>
      </c>
      <c r="C4" s="31"/>
      <c r="D4" s="1"/>
      <c r="E4" s="69">
        <v>42375</v>
      </c>
      <c r="F4" s="70"/>
      <c r="G4" s="1"/>
      <c r="H4" s="38" t="s">
        <v>1</v>
      </c>
      <c r="I4" s="38"/>
      <c r="J4" s="1"/>
      <c r="K4" s="71">
        <v>64</v>
      </c>
      <c r="L4" s="34" t="s">
        <v>2</v>
      </c>
      <c r="M4" s="35"/>
      <c r="N4" s="1"/>
      <c r="O4" s="1"/>
      <c r="P4" s="37"/>
      <c r="Q4" s="37"/>
      <c r="R4" s="37"/>
      <c r="S4" s="37"/>
      <c r="T4" s="37"/>
      <c r="U4" s="37"/>
      <c r="V4" s="1"/>
      <c r="W4" s="1"/>
    </row>
    <row r="5" spans="1:23" ht="8.1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7"/>
      <c r="Q5" s="37"/>
      <c r="R5" s="37"/>
      <c r="S5" s="37"/>
      <c r="T5" s="37"/>
      <c r="U5" s="37"/>
      <c r="V5" s="1"/>
      <c r="W5" s="1"/>
    </row>
    <row r="6" spans="1:23" ht="13.5" thickBot="1" x14ac:dyDescent="0.25">
      <c r="A6" s="1"/>
      <c r="B6" s="31" t="s">
        <v>3</v>
      </c>
      <c r="C6" s="31"/>
      <c r="D6" s="1"/>
      <c r="E6" s="71">
        <v>180</v>
      </c>
      <c r="F6" s="3" t="s">
        <v>4</v>
      </c>
      <c r="G6" s="1"/>
      <c r="H6" s="31" t="s">
        <v>5</v>
      </c>
      <c r="I6" s="31"/>
      <c r="J6" s="1"/>
      <c r="K6" s="71">
        <v>32</v>
      </c>
      <c r="L6" s="34" t="s">
        <v>6</v>
      </c>
      <c r="M6" s="35"/>
      <c r="N6" s="1"/>
      <c r="O6" s="1"/>
      <c r="P6" s="37"/>
      <c r="Q6" s="37"/>
      <c r="R6" s="37"/>
      <c r="S6" s="37"/>
      <c r="T6" s="37"/>
      <c r="U6" s="37"/>
      <c r="V6" s="1"/>
      <c r="W6" s="1"/>
    </row>
    <row r="7" spans="1:23" ht="8.1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 x14ac:dyDescent="0.25">
      <c r="A8" s="1"/>
      <c r="B8" s="31" t="s">
        <v>7</v>
      </c>
      <c r="C8" s="31"/>
      <c r="D8" s="1"/>
      <c r="E8" s="71">
        <v>73</v>
      </c>
      <c r="F8" s="3" t="s">
        <v>8</v>
      </c>
      <c r="G8" s="1"/>
      <c r="H8" s="31" t="s">
        <v>9</v>
      </c>
      <c r="I8" s="31"/>
      <c r="J8" s="1"/>
      <c r="K8" s="72">
        <f>E6*(100-H66)*0.01</f>
        <v>149.57664593194013</v>
      </c>
      <c r="L8" s="28" t="s">
        <v>4</v>
      </c>
      <c r="M8" s="29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 x14ac:dyDescent="0.25">
      <c r="A9" s="1"/>
      <c r="B9" s="2"/>
      <c r="C9" s="2"/>
      <c r="D9" s="1"/>
      <c r="E9" s="41"/>
      <c r="F9" s="42"/>
      <c r="G9" s="1"/>
      <c r="H9" s="2"/>
      <c r="I9" s="2"/>
      <c r="J9" s="1"/>
      <c r="K9" s="43"/>
      <c r="L9" s="44"/>
      <c r="M9" s="44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1"/>
      <c r="U10" s="1"/>
      <c r="V10" s="1"/>
      <c r="W10" s="1"/>
    </row>
    <row r="11" spans="1:23" x14ac:dyDescent="0.2">
      <c r="A11" s="7"/>
      <c r="B11" s="30" t="s">
        <v>23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0"/>
      <c r="N11" s="30" t="s">
        <v>28</v>
      </c>
      <c r="O11" s="30"/>
      <c r="P11" s="10"/>
      <c r="Q11" s="30" t="s">
        <v>29</v>
      </c>
      <c r="R11" s="30"/>
      <c r="S11" s="11"/>
      <c r="T11" s="1"/>
      <c r="U11" s="1"/>
      <c r="V11" s="1"/>
      <c r="W11" s="1"/>
    </row>
    <row r="12" spans="1:23" ht="13.5" thickBot="1" x14ac:dyDescent="0.25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"/>
      <c r="U12" s="1"/>
      <c r="V12" s="1"/>
      <c r="W12" s="1"/>
    </row>
    <row r="13" spans="1:23" ht="13.5" thickBot="1" x14ac:dyDescent="0.25">
      <c r="A13" s="7"/>
      <c r="B13" s="30" t="s">
        <v>24</v>
      </c>
      <c r="C13" s="30"/>
      <c r="D13" s="10"/>
      <c r="E13" s="73">
        <v>26.5</v>
      </c>
      <c r="F13" s="70"/>
      <c r="G13" s="10"/>
      <c r="H13" s="30" t="s">
        <v>26</v>
      </c>
      <c r="I13" s="30"/>
      <c r="J13" s="30"/>
      <c r="K13" s="30"/>
      <c r="L13" s="30"/>
      <c r="M13" s="10"/>
      <c r="N13" s="73">
        <v>13</v>
      </c>
      <c r="O13" s="70"/>
      <c r="P13" s="10"/>
      <c r="Q13" s="73">
        <v>23</v>
      </c>
      <c r="R13" s="70"/>
      <c r="S13" s="11"/>
      <c r="T13" s="1"/>
      <c r="U13" s="1"/>
      <c r="V13" s="1"/>
      <c r="W13" s="1"/>
    </row>
    <row r="14" spans="1:23" ht="13.5" thickBot="1" x14ac:dyDescent="0.2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"/>
      <c r="U14" s="1"/>
      <c r="V14" s="1"/>
      <c r="W14" s="1"/>
    </row>
    <row r="15" spans="1:23" ht="13.5" thickBot="1" x14ac:dyDescent="0.25">
      <c r="A15" s="7"/>
      <c r="B15" s="40" t="s">
        <v>32</v>
      </c>
      <c r="C15" s="40"/>
      <c r="E15" s="74">
        <v>30</v>
      </c>
      <c r="F15" s="75"/>
      <c r="G15" s="10"/>
      <c r="H15" s="45" t="s">
        <v>34</v>
      </c>
      <c r="I15" s="40"/>
      <c r="J15" s="40"/>
      <c r="K15" s="40"/>
      <c r="N15" s="76"/>
      <c r="O15" s="76"/>
      <c r="S15" s="11"/>
      <c r="T15" s="1"/>
      <c r="U15" s="1"/>
      <c r="V15" s="1"/>
      <c r="W15" s="1"/>
    </row>
    <row r="16" spans="1:23" ht="13.5" thickBot="1" x14ac:dyDescent="0.2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"/>
      <c r="U16" s="1"/>
      <c r="V16" s="1"/>
      <c r="W16" s="1"/>
    </row>
    <row r="17" spans="1:23" ht="13.5" thickBot="1" x14ac:dyDescent="0.25">
      <c r="A17" s="7"/>
      <c r="B17" s="30" t="s">
        <v>25</v>
      </c>
      <c r="C17" s="30"/>
      <c r="D17" s="10"/>
      <c r="E17" s="73">
        <v>32</v>
      </c>
      <c r="F17" s="70"/>
      <c r="G17" s="10"/>
      <c r="H17" s="30" t="s">
        <v>33</v>
      </c>
      <c r="I17" s="30"/>
      <c r="J17" s="30"/>
      <c r="K17" s="30"/>
      <c r="L17" s="10"/>
      <c r="M17" s="10"/>
      <c r="N17" s="77"/>
      <c r="O17" s="78"/>
      <c r="P17" s="10"/>
      <c r="S17" s="11"/>
      <c r="T17" s="1"/>
      <c r="U17" s="1"/>
      <c r="V17" s="1"/>
      <c r="W17" s="1"/>
    </row>
    <row r="18" spans="1:23" ht="13.5" thickBot="1" x14ac:dyDescent="0.25">
      <c r="A18" s="7"/>
      <c r="B18" s="30"/>
      <c r="C18" s="30"/>
      <c r="D18" s="10"/>
      <c r="E18" s="33"/>
      <c r="F18" s="33"/>
      <c r="G18" s="10"/>
      <c r="P18" s="10"/>
      <c r="Q18" s="33"/>
      <c r="R18" s="33"/>
      <c r="S18" s="11"/>
      <c r="T18" s="1"/>
      <c r="U18" s="1"/>
      <c r="V18" s="1"/>
      <c r="W18" s="1"/>
    </row>
    <row r="19" spans="1:23" ht="13.5" thickBot="1" x14ac:dyDescent="0.25">
      <c r="A19" s="7"/>
      <c r="B19" s="30" t="s">
        <v>35</v>
      </c>
      <c r="C19" s="30"/>
      <c r="D19" s="10"/>
      <c r="E19" s="46">
        <f>E13/E17</f>
        <v>0.828125</v>
      </c>
      <c r="F19" s="46"/>
      <c r="G19" s="10"/>
      <c r="H19" s="30" t="s">
        <v>27</v>
      </c>
      <c r="I19" s="30"/>
      <c r="J19" s="30"/>
      <c r="K19" s="30"/>
      <c r="L19" s="30"/>
      <c r="M19" s="10"/>
      <c r="N19" s="79"/>
      <c r="O19" s="79"/>
      <c r="P19" s="10"/>
      <c r="Q19" s="73"/>
      <c r="R19" s="70"/>
      <c r="S19" s="11"/>
      <c r="T19" s="1"/>
      <c r="U19" s="1"/>
      <c r="V19" s="1"/>
      <c r="W19" s="1"/>
    </row>
    <row r="20" spans="1:23" x14ac:dyDescent="0.2">
      <c r="A20" s="7"/>
      <c r="B20" s="10"/>
      <c r="C20" s="10"/>
      <c r="D20" s="10"/>
      <c r="E20" s="10"/>
      <c r="F20" s="10"/>
      <c r="G20" s="10"/>
      <c r="H20" s="30"/>
      <c r="I20" s="30"/>
      <c r="J20" s="30"/>
      <c r="K20" s="30"/>
      <c r="L20" s="30"/>
      <c r="M20" s="10"/>
      <c r="N20" s="30"/>
      <c r="O20" s="30"/>
      <c r="P20" s="10"/>
      <c r="Q20" s="10"/>
      <c r="R20" s="10"/>
      <c r="S20" s="11"/>
      <c r="T20" s="1"/>
      <c r="U20" s="1"/>
      <c r="V20" s="1"/>
      <c r="W20" s="1"/>
    </row>
    <row r="21" spans="1:23" ht="13.5" thickBot="1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"/>
      <c r="U21" s="1"/>
      <c r="V21" s="1"/>
      <c r="W21" s="1"/>
    </row>
    <row r="22" spans="1:23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</row>
    <row r="23" spans="1:23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"/>
      <c r="U23" s="1"/>
      <c r="V23" s="1"/>
      <c r="W23" s="1"/>
    </row>
    <row r="24" spans="1:2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"/>
      <c r="U24" s="1"/>
      <c r="V24" s="1"/>
      <c r="W24" s="1"/>
    </row>
    <row r="25" spans="1:23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"/>
      <c r="U25" s="1"/>
      <c r="V25" s="1"/>
      <c r="W25" s="1"/>
    </row>
    <row r="26" spans="1:2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"/>
      <c r="U26" s="1"/>
      <c r="V26" s="1"/>
      <c r="W26" s="1"/>
    </row>
    <row r="27" spans="1:23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"/>
      <c r="U27" s="1"/>
      <c r="V27" s="1"/>
      <c r="W27" s="1"/>
    </row>
    <row r="28" spans="1:2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"/>
      <c r="U28" s="1"/>
      <c r="V28" s="1"/>
      <c r="W28" s="1"/>
    </row>
    <row r="29" spans="1:23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  <c r="U29" s="1"/>
      <c r="V29" s="1"/>
      <c r="W29" s="1"/>
    </row>
    <row r="30" spans="1:2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"/>
      <c r="U30" s="1"/>
      <c r="V30" s="1"/>
      <c r="W30" s="1"/>
    </row>
    <row r="31" spans="1:23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"/>
      <c r="U31" s="1"/>
      <c r="V31" s="1"/>
      <c r="W31" s="1"/>
    </row>
    <row r="32" spans="1:23" ht="8.1" customHeight="1" thickBot="1" x14ac:dyDescent="0.25">
      <c r="A32" s="1"/>
      <c r="B32" s="2"/>
      <c r="C32" s="2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8.1" customHeight="1" x14ac:dyDescent="0.2">
      <c r="A33" s="4"/>
      <c r="B33" s="5"/>
      <c r="C33" s="5"/>
      <c r="D33" s="5"/>
      <c r="E33" s="5"/>
      <c r="F33" s="5"/>
      <c r="G33" s="5"/>
      <c r="H33" s="5"/>
      <c r="I33" s="5"/>
      <c r="J33" s="6"/>
      <c r="K33" s="1"/>
      <c r="L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7"/>
      <c r="B34" s="30" t="s">
        <v>10</v>
      </c>
      <c r="C34" s="30"/>
      <c r="D34" s="30"/>
      <c r="E34" s="30"/>
      <c r="F34" s="30"/>
      <c r="G34" s="30"/>
      <c r="H34" s="30"/>
      <c r="I34" s="30"/>
      <c r="J34" s="9"/>
      <c r="K34" s="10"/>
      <c r="L34" s="30"/>
      <c r="M34" s="30"/>
      <c r="N34" s="30"/>
      <c r="O34" s="30"/>
      <c r="P34" s="30"/>
      <c r="Q34" s="30"/>
      <c r="R34" s="30"/>
      <c r="S34" s="30"/>
      <c r="T34" s="30"/>
      <c r="U34" s="1"/>
      <c r="V34" s="1"/>
      <c r="W34" s="1"/>
    </row>
    <row r="35" spans="1:23" ht="8.1" customHeight="1" x14ac:dyDescent="0.2">
      <c r="A35" s="7"/>
      <c r="B35" s="10"/>
      <c r="C35" s="10"/>
      <c r="D35" s="10"/>
      <c r="E35" s="10"/>
      <c r="F35" s="10"/>
      <c r="G35" s="10"/>
      <c r="H35" s="10"/>
      <c r="I35" s="10"/>
      <c r="J35" s="11"/>
      <c r="K35" s="8"/>
      <c r="L35" s="8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 thickBot="1" x14ac:dyDescent="0.25">
      <c r="A36" s="7"/>
      <c r="B36" s="30" t="s">
        <v>11</v>
      </c>
      <c r="C36" s="30"/>
      <c r="D36" s="30"/>
      <c r="E36" s="30"/>
      <c r="F36" s="30"/>
      <c r="G36" s="30"/>
      <c r="H36" s="30"/>
      <c r="I36" s="30"/>
      <c r="J36" s="9"/>
      <c r="K36" s="10"/>
      <c r="L36" s="10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 thickBot="1" x14ac:dyDescent="0.25">
      <c r="A37" s="7"/>
      <c r="B37" s="73">
        <v>16.2</v>
      </c>
      <c r="C37" s="70"/>
      <c r="D37" s="10"/>
      <c r="E37" s="73"/>
      <c r="F37" s="70"/>
      <c r="G37" s="10"/>
      <c r="H37" s="73"/>
      <c r="I37" s="70"/>
      <c r="J37" s="12">
        <f>IF(ISERROR(AVERAGE(B37,E37,H37)),"",AVERAGE(B37,E37,H37))</f>
        <v>16.2</v>
      </c>
      <c r="K37" s="8"/>
      <c r="L37" s="8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7"/>
      <c r="B38" s="30" t="s">
        <v>22</v>
      </c>
      <c r="C38" s="30"/>
      <c r="D38" s="30"/>
      <c r="E38" s="30"/>
      <c r="F38" s="30"/>
      <c r="G38" s="30"/>
      <c r="H38" s="30"/>
      <c r="I38" s="30"/>
      <c r="J38" s="12"/>
      <c r="K38" s="13"/>
      <c r="L38" s="13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8.1" customHeight="1" x14ac:dyDescent="0.2">
      <c r="A39" s="7"/>
      <c r="B39" s="30"/>
      <c r="C39" s="30"/>
      <c r="D39" s="30"/>
      <c r="E39" s="30"/>
      <c r="F39" s="30"/>
      <c r="G39" s="30"/>
      <c r="H39" s="30"/>
      <c r="I39" s="30"/>
      <c r="J39" s="12"/>
      <c r="K39" s="13"/>
      <c r="L39" s="13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thickBot="1" x14ac:dyDescent="0.25">
      <c r="A40" s="7"/>
      <c r="B40" s="30" t="s">
        <v>12</v>
      </c>
      <c r="C40" s="30"/>
      <c r="D40" s="30"/>
      <c r="E40" s="30"/>
      <c r="F40" s="30"/>
      <c r="G40" s="30"/>
      <c r="H40" s="30"/>
      <c r="I40" s="30"/>
      <c r="J40" s="12"/>
      <c r="K40" s="13"/>
      <c r="L40" s="13"/>
      <c r="M40" s="54" t="s">
        <v>40</v>
      </c>
      <c r="N40" s="54"/>
      <c r="O40" s="54"/>
      <c r="P40" s="54"/>
      <c r="Q40" s="54"/>
      <c r="R40" s="54"/>
      <c r="S40" s="54"/>
      <c r="T40" s="54"/>
      <c r="U40" s="1"/>
      <c r="V40" s="1"/>
      <c r="W40" s="1"/>
    </row>
    <row r="41" spans="1:23" ht="13.5" thickBot="1" x14ac:dyDescent="0.25">
      <c r="A41" s="7"/>
      <c r="B41" s="73">
        <v>24.6</v>
      </c>
      <c r="C41" s="70"/>
      <c r="D41" s="10"/>
      <c r="E41" s="73"/>
      <c r="F41" s="70"/>
      <c r="G41" s="10"/>
      <c r="H41" s="73"/>
      <c r="I41" s="70"/>
      <c r="J41" s="12">
        <f>IF(ISERROR(AVERAGE(B41,E41,H41)),"",AVERAGE(B41,E41,H41))</f>
        <v>24.6</v>
      </c>
      <c r="K41" s="13"/>
      <c r="L41" s="13"/>
      <c r="M41" s="54"/>
      <c r="N41" s="54"/>
      <c r="O41" s="54"/>
      <c r="P41" s="54"/>
      <c r="Q41" s="54"/>
      <c r="R41" s="54"/>
      <c r="S41" s="54"/>
      <c r="T41" s="54"/>
      <c r="U41" s="48"/>
      <c r="V41" s="1"/>
      <c r="W41" s="1"/>
    </row>
    <row r="42" spans="1:23" x14ac:dyDescent="0.2">
      <c r="A42" s="7"/>
      <c r="B42" s="30" t="s">
        <v>22</v>
      </c>
      <c r="C42" s="30"/>
      <c r="D42" s="30"/>
      <c r="E42" s="30"/>
      <c r="F42" s="30"/>
      <c r="G42" s="30"/>
      <c r="H42" s="30"/>
      <c r="I42" s="30"/>
      <c r="J42" s="12"/>
      <c r="K42" s="13"/>
      <c r="L42" s="13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8.1" customHeight="1" x14ac:dyDescent="0.2">
      <c r="A43" s="7"/>
      <c r="B43" s="10"/>
      <c r="C43" s="10"/>
      <c r="D43" s="10"/>
      <c r="E43" s="10"/>
      <c r="F43" s="10"/>
      <c r="G43" s="10"/>
      <c r="H43" s="10"/>
      <c r="I43" s="10"/>
      <c r="J43" s="14"/>
      <c r="K43" s="13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thickBot="1" x14ac:dyDescent="0.25">
      <c r="A44" s="7"/>
      <c r="B44" s="30" t="s">
        <v>13</v>
      </c>
      <c r="C44" s="30"/>
      <c r="D44" s="30"/>
      <c r="E44" s="30"/>
      <c r="F44" s="30"/>
      <c r="G44" s="30"/>
      <c r="H44" s="30"/>
      <c r="I44" s="30"/>
      <c r="J44" s="12"/>
      <c r="K44" s="15"/>
      <c r="L44" s="1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thickBot="1" x14ac:dyDescent="0.25">
      <c r="A45" s="7"/>
      <c r="B45" s="73">
        <v>21.4</v>
      </c>
      <c r="C45" s="70"/>
      <c r="D45" s="10"/>
      <c r="E45" s="73"/>
      <c r="F45" s="70"/>
      <c r="G45" s="10"/>
      <c r="H45" s="73"/>
      <c r="I45" s="70"/>
      <c r="J45" s="12">
        <f>IF(ISERROR(AVERAGE(B45,E45,H45)),"",AVERAGE(B45,E45,H45))</f>
        <v>21.4</v>
      </c>
      <c r="K45" s="13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7"/>
      <c r="B46" s="30" t="s">
        <v>22</v>
      </c>
      <c r="C46" s="30"/>
      <c r="D46" s="30"/>
      <c r="E46" s="30"/>
      <c r="F46" s="30"/>
      <c r="G46" s="30"/>
      <c r="H46" s="30"/>
      <c r="I46" s="30"/>
      <c r="J46" s="12"/>
      <c r="K46" s="13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8.1" customHeight="1" x14ac:dyDescent="0.2">
      <c r="A47" s="7"/>
      <c r="B47" s="10"/>
      <c r="C47" s="10"/>
      <c r="D47" s="10"/>
      <c r="E47" s="10"/>
      <c r="F47" s="10"/>
      <c r="G47" s="10"/>
      <c r="H47" s="10"/>
      <c r="I47" s="10"/>
      <c r="J47" s="14"/>
      <c r="K47" s="13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thickBot="1" x14ac:dyDescent="0.25">
      <c r="A48" s="7"/>
      <c r="B48" s="30" t="s">
        <v>14</v>
      </c>
      <c r="C48" s="30"/>
      <c r="D48" s="30"/>
      <c r="E48" s="30"/>
      <c r="F48" s="30"/>
      <c r="G48" s="30"/>
      <c r="H48" s="30"/>
      <c r="I48" s="30"/>
      <c r="J48" s="12"/>
      <c r="K48" s="15"/>
      <c r="L48" s="1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thickBot="1" x14ac:dyDescent="0.25">
      <c r="A49" s="7"/>
      <c r="B49" s="73">
        <v>8.8000000000000007</v>
      </c>
      <c r="C49" s="70"/>
      <c r="D49" s="10"/>
      <c r="E49" s="73"/>
      <c r="F49" s="70"/>
      <c r="G49" s="10"/>
      <c r="H49" s="73"/>
      <c r="I49" s="70"/>
      <c r="J49" s="12">
        <f>IF(ISERROR(AVERAGE(B49,E49,H49)),"",AVERAGE(B49,E49,H49))</f>
        <v>8.8000000000000007</v>
      </c>
      <c r="K49" s="13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7"/>
      <c r="B50" s="30" t="s">
        <v>22</v>
      </c>
      <c r="C50" s="30"/>
      <c r="D50" s="30"/>
      <c r="E50" s="30"/>
      <c r="F50" s="30"/>
      <c r="G50" s="30"/>
      <c r="H50" s="30"/>
      <c r="I50" s="30"/>
      <c r="J50" s="12"/>
      <c r="K50" s="13"/>
      <c r="L50" s="13"/>
      <c r="M50" s="31"/>
      <c r="N50" s="31"/>
      <c r="O50" s="31"/>
      <c r="P50" s="31"/>
      <c r="Q50" s="31"/>
      <c r="R50" s="31"/>
      <c r="S50" s="31"/>
      <c r="T50" s="31"/>
      <c r="U50" s="1"/>
      <c r="V50" s="1"/>
      <c r="W50" s="1"/>
    </row>
    <row r="51" spans="1:23" ht="8.1" customHeight="1" x14ac:dyDescent="0.2">
      <c r="A51" s="7"/>
      <c r="B51" s="10"/>
      <c r="C51" s="10"/>
      <c r="D51" s="10"/>
      <c r="E51" s="10"/>
      <c r="F51" s="10"/>
      <c r="G51" s="10"/>
      <c r="H51" s="10"/>
      <c r="I51" s="10"/>
      <c r="J51" s="14"/>
      <c r="K51" s="13"/>
      <c r="L51" s="1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thickBot="1" x14ac:dyDescent="0.25">
      <c r="A52" s="7"/>
      <c r="B52" s="30" t="s">
        <v>15</v>
      </c>
      <c r="C52" s="30"/>
      <c r="D52" s="30"/>
      <c r="E52" s="30"/>
      <c r="F52" s="30"/>
      <c r="G52" s="30"/>
      <c r="H52" s="30"/>
      <c r="I52" s="30"/>
      <c r="J52" s="12"/>
      <c r="K52" s="15"/>
      <c r="L52" s="1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 thickBot="1" x14ac:dyDescent="0.25">
      <c r="A53" s="7"/>
      <c r="B53" s="73">
        <v>16.2</v>
      </c>
      <c r="C53" s="70"/>
      <c r="D53" s="10"/>
      <c r="E53" s="73"/>
      <c r="F53" s="70"/>
      <c r="G53" s="10"/>
      <c r="H53" s="73"/>
      <c r="I53" s="70"/>
      <c r="J53" s="12">
        <f>IF(ISERROR(AVERAGE(B53,E53,H53)),"",AVERAGE(B53,E53,H53))</f>
        <v>16.2</v>
      </c>
      <c r="K53" s="13"/>
      <c r="L53" s="1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7"/>
      <c r="B54" s="30" t="s">
        <v>22</v>
      </c>
      <c r="C54" s="30"/>
      <c r="D54" s="30"/>
      <c r="E54" s="30"/>
      <c r="F54" s="30"/>
      <c r="G54" s="30"/>
      <c r="H54" s="30"/>
      <c r="I54" s="30"/>
      <c r="J54" s="12"/>
      <c r="K54" s="13"/>
      <c r="L54" s="1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8.1" customHeight="1" x14ac:dyDescent="0.2">
      <c r="A55" s="7"/>
      <c r="B55" s="10"/>
      <c r="C55" s="10"/>
      <c r="D55" s="10"/>
      <c r="E55" s="10"/>
      <c r="F55" s="10"/>
      <c r="G55" s="10"/>
      <c r="H55" s="10"/>
      <c r="I55" s="10"/>
      <c r="J55" s="14"/>
      <c r="K55" s="13"/>
      <c r="L55" s="1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thickBot="1" x14ac:dyDescent="0.25">
      <c r="A56" s="7"/>
      <c r="B56" s="30" t="s">
        <v>16</v>
      </c>
      <c r="C56" s="30"/>
      <c r="D56" s="30"/>
      <c r="E56" s="30"/>
      <c r="F56" s="30"/>
      <c r="G56" s="30"/>
      <c r="H56" s="30"/>
      <c r="I56" s="30"/>
      <c r="J56" s="12"/>
      <c r="K56" s="15"/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thickBot="1" x14ac:dyDescent="0.25">
      <c r="A57" s="7"/>
      <c r="B57" s="73">
        <v>14.8</v>
      </c>
      <c r="C57" s="70"/>
      <c r="D57" s="10"/>
      <c r="E57" s="73"/>
      <c r="F57" s="70"/>
      <c r="G57" s="10"/>
      <c r="H57" s="73"/>
      <c r="I57" s="70"/>
      <c r="J57" s="12">
        <f>IF(ISERROR(AVERAGE(B57,E57,H57)),"",AVERAGE(B57,E57,H57))</f>
        <v>14.8</v>
      </c>
      <c r="K57" s="13"/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7"/>
      <c r="B58" s="30" t="s">
        <v>22</v>
      </c>
      <c r="C58" s="30"/>
      <c r="D58" s="30"/>
      <c r="E58" s="30"/>
      <c r="F58" s="30"/>
      <c r="G58" s="30"/>
      <c r="H58" s="30"/>
      <c r="I58" s="30"/>
      <c r="J58" s="12"/>
      <c r="K58" s="13"/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8.1" customHeight="1" x14ac:dyDescent="0.2">
      <c r="A59" s="7"/>
      <c r="B59" s="10"/>
      <c r="C59" s="10"/>
      <c r="D59" s="10"/>
      <c r="E59" s="10"/>
      <c r="F59" s="10"/>
      <c r="G59" s="10"/>
      <c r="H59" s="10"/>
      <c r="I59" s="10"/>
      <c r="J59" s="14"/>
      <c r="K59" s="13"/>
      <c r="L59" s="1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5" thickBot="1" x14ac:dyDescent="0.25">
      <c r="A60" s="7"/>
      <c r="B60" s="30" t="s">
        <v>17</v>
      </c>
      <c r="C60" s="30"/>
      <c r="D60" s="30"/>
      <c r="E60" s="30"/>
      <c r="F60" s="30"/>
      <c r="G60" s="30"/>
      <c r="H60" s="30"/>
      <c r="I60" s="30"/>
      <c r="J60" s="12"/>
      <c r="K60" s="15"/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.5" thickBot="1" x14ac:dyDescent="0.25">
      <c r="A61" s="7"/>
      <c r="B61" s="73">
        <v>12.5</v>
      </c>
      <c r="C61" s="70"/>
      <c r="D61" s="10"/>
      <c r="E61" s="73"/>
      <c r="F61" s="70"/>
      <c r="G61" s="10"/>
      <c r="H61" s="73"/>
      <c r="I61" s="70"/>
      <c r="J61" s="12">
        <f>IF(ISERROR(AVERAGE(B61,E61,H61)),"",AVERAGE(B61,E61,H61))</f>
        <v>12.5</v>
      </c>
      <c r="K61" s="13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7"/>
      <c r="B62" s="30" t="s">
        <v>22</v>
      </c>
      <c r="C62" s="30"/>
      <c r="D62" s="30"/>
      <c r="E62" s="30"/>
      <c r="F62" s="30"/>
      <c r="G62" s="30"/>
      <c r="H62" s="30"/>
      <c r="I62" s="30"/>
      <c r="J62" s="9"/>
      <c r="K62" s="13"/>
      <c r="L62" s="1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8.1" customHeight="1" thickBot="1" x14ac:dyDescent="0.25">
      <c r="A63" s="16"/>
      <c r="B63" s="17"/>
      <c r="C63" s="17"/>
      <c r="D63" s="17"/>
      <c r="E63" s="17"/>
      <c r="F63" s="17"/>
      <c r="G63" s="17"/>
      <c r="H63" s="17"/>
      <c r="I63" s="17"/>
      <c r="J63" s="18"/>
      <c r="K63" s="8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8.1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8"/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4" ht="8.1" customHeight="1" thickBo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0"/>
      <c r="L65" s="1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4" ht="13.5" thickBot="1" x14ac:dyDescent="0.25">
      <c r="A66" s="1"/>
      <c r="B66" s="31" t="s">
        <v>18</v>
      </c>
      <c r="C66" s="31"/>
      <c r="D66" s="31"/>
      <c r="E66" s="31"/>
      <c r="F66" s="31"/>
      <c r="G66" s="1"/>
      <c r="H66" s="19">
        <f>IF(ISERROR((4.95/(1.112-(0.00043499*(SUM(J61,J57,J53,J49,J45,J41,J37)))+(0.00000055*((SUM(J61,J57,J53,J49,J45,J41,J37))^2))-(0.00028826*K6))-4.5)*100),"",(4.95/(1.112-(0.00043499*(SUM(J61,J57,J53,J49,J45,J41,J37)))+(0.00000055*((SUM(J61,J57,J53,J49,J45,J41,J37))^2))-(0.00028826*K6))-4.5)*100)</f>
        <v>16.901863371144366</v>
      </c>
      <c r="I66" s="20" t="s">
        <v>19</v>
      </c>
      <c r="J66" s="1"/>
      <c r="K66" s="31" t="s">
        <v>20</v>
      </c>
      <c r="L66" s="31"/>
      <c r="M66" s="31"/>
      <c r="N66" s="31"/>
      <c r="O66" s="31"/>
      <c r="P66" s="1"/>
      <c r="Q66" s="59">
        <f>IF(ISERROR(703*(E6/(E8^2))),"",703*(E6/(E8^2)))</f>
        <v>23.745543253893789</v>
      </c>
      <c r="R66" s="60"/>
      <c r="S66" s="1"/>
      <c r="T66" s="1"/>
      <c r="U66" s="1"/>
      <c r="V66" s="1"/>
      <c r="W66" s="1"/>
    </row>
    <row r="67" spans="1:24" ht="13.5" thickBot="1" x14ac:dyDescent="0.25">
      <c r="A67" s="1"/>
      <c r="B67" s="2"/>
      <c r="C67" s="2"/>
      <c r="D67" s="2"/>
      <c r="E67" s="2"/>
      <c r="F67" s="2"/>
      <c r="G67" s="1"/>
      <c r="H67" s="21"/>
      <c r="I67" s="51"/>
      <c r="J67" s="1"/>
      <c r="K67" s="2"/>
      <c r="L67" s="2"/>
      <c r="M67" s="2"/>
      <c r="N67" s="2"/>
      <c r="O67" s="2"/>
      <c r="P67" s="1"/>
      <c r="Q67" s="8"/>
      <c r="R67" s="8"/>
      <c r="S67" s="1"/>
      <c r="T67" s="1"/>
      <c r="U67" s="1"/>
      <c r="V67" s="1"/>
      <c r="W67" s="1"/>
    </row>
    <row r="68" spans="1:24" ht="13.5" thickBot="1" x14ac:dyDescent="0.25">
      <c r="A68" s="1"/>
      <c r="B68" s="31" t="s">
        <v>37</v>
      </c>
      <c r="C68" s="31"/>
      <c r="D68" s="31"/>
      <c r="E68" s="31"/>
      <c r="F68" s="31"/>
      <c r="G68" s="1"/>
      <c r="H68" s="57">
        <f>E6*(100-H66)*0.01</f>
        <v>149.57664593194013</v>
      </c>
      <c r="I68" s="52" t="s">
        <v>4</v>
      </c>
      <c r="J68" s="1"/>
      <c r="K68" s="31" t="s">
        <v>21</v>
      </c>
      <c r="L68" s="31"/>
      <c r="M68" s="31"/>
      <c r="N68" s="31"/>
      <c r="O68" s="31"/>
      <c r="P68" s="1"/>
      <c r="Q68" s="56">
        <f xml:space="preserve"> (10*E6/2.2)+(6.25*E8*2.54)-(5*K6)+5</f>
        <v>1822.056818181818</v>
      </c>
      <c r="R68" s="47" t="s">
        <v>38</v>
      </c>
      <c r="S68" s="1"/>
      <c r="T68" s="1"/>
      <c r="U68" s="1"/>
      <c r="V68" s="1"/>
      <c r="W68" s="1"/>
    </row>
    <row r="69" spans="1:24" ht="8.1" customHeight="1" thickBot="1" x14ac:dyDescent="0.25">
      <c r="A69" s="1"/>
      <c r="B69" s="2"/>
      <c r="C69" s="2"/>
      <c r="D69" s="2"/>
      <c r="E69" s="2"/>
      <c r="F69" s="2"/>
      <c r="G69" s="1"/>
      <c r="H69" s="21"/>
      <c r="I69" s="22"/>
      <c r="J69" s="1"/>
      <c r="K69" s="1"/>
      <c r="L69" s="1"/>
      <c r="M69" s="1"/>
      <c r="N69" s="1"/>
      <c r="O69" s="1"/>
      <c r="P69" s="1"/>
      <c r="Q69" s="10"/>
      <c r="R69" s="1"/>
      <c r="S69" s="1"/>
      <c r="T69" s="1"/>
      <c r="U69" s="1"/>
      <c r="V69" s="1"/>
      <c r="W69" s="1"/>
    </row>
    <row r="70" spans="1:24" ht="13.5" thickBot="1" x14ac:dyDescent="0.25">
      <c r="A70" s="1"/>
      <c r="C70" s="45" t="s">
        <v>39</v>
      </c>
      <c r="D70" s="40"/>
      <c r="E70" s="40"/>
      <c r="G70" s="1"/>
      <c r="H70" s="58">
        <f>E6-H68</f>
        <v>30.423354068059865</v>
      </c>
      <c r="I70" s="53" t="s">
        <v>4</v>
      </c>
      <c r="J70" s="1"/>
      <c r="K70" s="38" t="s">
        <v>41</v>
      </c>
      <c r="L70" s="36"/>
      <c r="M70" s="36"/>
      <c r="N70" s="36"/>
      <c r="O70" s="36"/>
      <c r="P70" s="1"/>
      <c r="Q70" s="81" t="s">
        <v>45</v>
      </c>
      <c r="R70" s="81"/>
      <c r="S70" s="81"/>
      <c r="T70" s="81"/>
      <c r="U70" s="81"/>
      <c r="V70" s="81"/>
      <c r="W70" s="81"/>
      <c r="X70" s="80"/>
    </row>
    <row r="71" spans="1:24" x14ac:dyDescent="0.2">
      <c r="A71" s="1"/>
      <c r="C71" s="49"/>
      <c r="D71" s="39"/>
      <c r="E71" s="39"/>
      <c r="G71" s="1"/>
      <c r="H71" s="61"/>
      <c r="I71" s="25"/>
      <c r="J71" s="1"/>
      <c r="K71" s="26"/>
      <c r="L71" s="24"/>
      <c r="M71" s="24"/>
      <c r="N71" s="24"/>
      <c r="O71" s="24"/>
      <c r="P71" s="1"/>
      <c r="Q71" s="62"/>
      <c r="R71" s="62"/>
      <c r="S71" s="62"/>
      <c r="T71" s="62"/>
      <c r="U71" s="1"/>
      <c r="V71" s="1"/>
      <c r="W71" s="1"/>
    </row>
    <row r="72" spans="1:24" x14ac:dyDescent="0.2">
      <c r="A72" s="1"/>
      <c r="C72" s="49"/>
      <c r="D72" s="39"/>
      <c r="E72" s="39"/>
      <c r="G72" s="1"/>
      <c r="H72" s="61"/>
      <c r="I72" s="25"/>
      <c r="J72" s="1"/>
      <c r="K72" s="26"/>
      <c r="L72" s="24"/>
      <c r="M72" s="24"/>
      <c r="N72" s="24"/>
      <c r="O72" s="24"/>
      <c r="P72" s="1"/>
      <c r="Q72" s="63" t="s">
        <v>50</v>
      </c>
      <c r="R72" s="63"/>
      <c r="S72" s="63"/>
      <c r="T72" s="63"/>
      <c r="U72" s="1"/>
      <c r="V72" s="1"/>
      <c r="W72" s="1"/>
    </row>
    <row r="73" spans="1:24" ht="13.5" thickBot="1" x14ac:dyDescent="0.25">
      <c r="A73" s="1"/>
      <c r="B73" s="2"/>
      <c r="C73" s="2"/>
      <c r="D73" s="2"/>
      <c r="E73" s="2"/>
      <c r="F73" s="2"/>
      <c r="G73" s="1"/>
      <c r="H73" s="50"/>
      <c r="I73" s="50"/>
      <c r="J73" s="1"/>
      <c r="K73" s="24"/>
      <c r="L73" s="26"/>
      <c r="M73" s="24"/>
      <c r="N73" s="24"/>
      <c r="O73" s="24"/>
      <c r="P73" s="1"/>
      <c r="Q73" s="10"/>
      <c r="R73" s="25"/>
      <c r="S73" s="1"/>
      <c r="T73" s="1"/>
      <c r="U73" s="1"/>
      <c r="V73" s="1"/>
      <c r="W73" s="1"/>
    </row>
    <row r="74" spans="1:24" ht="13.5" thickBot="1" x14ac:dyDescent="0.25">
      <c r="A74" s="55"/>
      <c r="B74" s="32" t="s">
        <v>47</v>
      </c>
      <c r="C74" s="32"/>
      <c r="D74" s="32"/>
      <c r="E74" s="32"/>
      <c r="F74" s="32"/>
      <c r="G74" s="55"/>
      <c r="H74" s="55">
        <f>VLOOKUP(Q70,Multiplier,2,FALSE)*Q68</f>
        <v>3143.0480113636363</v>
      </c>
      <c r="I74" s="55" t="s">
        <v>38</v>
      </c>
      <c r="J74" s="55"/>
      <c r="K74" s="32" t="s">
        <v>51</v>
      </c>
      <c r="L74" s="32"/>
      <c r="M74" s="32"/>
      <c r="N74" s="32"/>
      <c r="O74" s="32"/>
      <c r="P74" s="32"/>
      <c r="Q74" s="32"/>
      <c r="R74" s="66">
        <f>H74*0.75</f>
        <v>2357.2860085227271</v>
      </c>
      <c r="S74" s="64" t="s">
        <v>53</v>
      </c>
      <c r="T74" s="66">
        <f>H74*0.85</f>
        <v>2671.5908096590906</v>
      </c>
      <c r="V74" s="1"/>
      <c r="W74" s="1"/>
    </row>
    <row r="75" spans="1:24" ht="13.5" thickBo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32" t="s">
        <v>52</v>
      </c>
      <c r="L75" s="32"/>
      <c r="M75" s="32"/>
      <c r="N75" s="32"/>
      <c r="O75" s="32"/>
      <c r="P75" s="32"/>
      <c r="Q75" s="32"/>
      <c r="R75" s="66">
        <f>H74*1.15</f>
        <v>3614.5052130681815</v>
      </c>
      <c r="S75" s="65" t="s">
        <v>53</v>
      </c>
      <c r="T75" s="67">
        <f>H74*1.25</f>
        <v>3928.8100142045455</v>
      </c>
      <c r="V75" s="1"/>
      <c r="W75" s="1"/>
    </row>
    <row r="76" spans="1:24" ht="8.1" customHeight="1" x14ac:dyDescent="0.2">
      <c r="V76" s="1"/>
      <c r="W76" s="1"/>
    </row>
    <row r="77" spans="1:24" ht="8.1" customHeight="1" x14ac:dyDescent="0.2">
      <c r="V77" s="1"/>
      <c r="W77" s="1"/>
    </row>
    <row r="78" spans="1:24" x14ac:dyDescent="0.2">
      <c r="V78" s="1"/>
      <c r="W78" s="1"/>
    </row>
    <row r="79" spans="1:24" ht="8.1" customHeight="1" x14ac:dyDescent="0.2">
      <c r="V79" s="1"/>
      <c r="W79" s="1"/>
    </row>
    <row r="80" spans="1:24" x14ac:dyDescent="0.2">
      <c r="V80" s="1"/>
      <c r="W80" s="1"/>
    </row>
    <row r="81" spans="1:23" ht="8.1" customHeight="1" x14ac:dyDescent="0.2">
      <c r="U81" s="1"/>
      <c r="V81" s="1"/>
      <c r="W81" s="1"/>
    </row>
    <row r="82" spans="1:23" x14ac:dyDescent="0.2">
      <c r="U82" s="1"/>
      <c r="V82" s="1"/>
      <c r="W82" s="1"/>
    </row>
    <row r="83" spans="1:23" ht="8.1" customHeight="1" x14ac:dyDescent="0.2">
      <c r="U83" s="1"/>
      <c r="V83" s="1"/>
      <c r="W83" s="1"/>
    </row>
    <row r="84" spans="1:23" ht="14.25" customHeight="1" x14ac:dyDescent="0.2">
      <c r="U84" s="1"/>
      <c r="V84" s="1"/>
      <c r="W84" s="1"/>
    </row>
    <row r="85" spans="1:23" x14ac:dyDescent="0.2">
      <c r="U85" s="1"/>
      <c r="V85" s="1"/>
      <c r="W85" s="1"/>
    </row>
    <row r="86" spans="1:23" ht="8.1" customHeight="1" x14ac:dyDescent="0.2">
      <c r="U86" s="1"/>
      <c r="V86" s="1"/>
      <c r="W86" s="1"/>
    </row>
    <row r="87" spans="1:23" ht="8.1" customHeight="1" x14ac:dyDescent="0.2">
      <c r="U87" s="1"/>
      <c r="V87" s="1"/>
      <c r="W87" s="1"/>
    </row>
    <row r="88" spans="1:23" ht="8.1" customHeight="1" x14ac:dyDescent="0.2">
      <c r="U88" s="1"/>
      <c r="V88" s="1"/>
      <c r="W88" s="1"/>
    </row>
    <row r="89" spans="1:23" ht="8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</sheetData>
  <sheetProtection algorithmName="SHA-512" hashValue="AFpiEGm+08vgcgYGyJE70vSJAhB82Tjvhj6C4sckRYCZXOOYRsF5EnKngZ1bzfSVUtqrV0su7+2dtAGuPXc6UQ==" saltValue="0Ip0AykmQpo/K4kOGuWt9w==" spinCount="100000" sheet="1" objects="1" scenarios="1" selectLockedCells="1"/>
  <mergeCells count="91">
    <mergeCell ref="K75:Q75"/>
    <mergeCell ref="C70:E70"/>
    <mergeCell ref="K70:O70"/>
    <mergeCell ref="Q70:W70"/>
    <mergeCell ref="Q72:T72"/>
    <mergeCell ref="B74:F74"/>
    <mergeCell ref="K74:Q74"/>
    <mergeCell ref="B62:I62"/>
    <mergeCell ref="B66:F66"/>
    <mergeCell ref="K66:O66"/>
    <mergeCell ref="Q66:R66"/>
    <mergeCell ref="B68:F68"/>
    <mergeCell ref="K68:O68"/>
    <mergeCell ref="B57:C57"/>
    <mergeCell ref="E57:F57"/>
    <mergeCell ref="H57:I57"/>
    <mergeCell ref="B58:I58"/>
    <mergeCell ref="B60:I60"/>
    <mergeCell ref="B61:C61"/>
    <mergeCell ref="E61:F61"/>
    <mergeCell ref="H61:I61"/>
    <mergeCell ref="B52:I52"/>
    <mergeCell ref="B53:C53"/>
    <mergeCell ref="E53:F53"/>
    <mergeCell ref="H53:I53"/>
    <mergeCell ref="B54:I54"/>
    <mergeCell ref="B56:I56"/>
    <mergeCell ref="B48:I48"/>
    <mergeCell ref="B49:C49"/>
    <mergeCell ref="E49:F49"/>
    <mergeCell ref="H49:I49"/>
    <mergeCell ref="B50:I50"/>
    <mergeCell ref="M50:T50"/>
    <mergeCell ref="B42:I42"/>
    <mergeCell ref="B44:I44"/>
    <mergeCell ref="B45:C45"/>
    <mergeCell ref="E45:F45"/>
    <mergeCell ref="H45:I45"/>
    <mergeCell ref="B46:I46"/>
    <mergeCell ref="B38:I38"/>
    <mergeCell ref="B39:I39"/>
    <mergeCell ref="B40:I40"/>
    <mergeCell ref="M40:T41"/>
    <mergeCell ref="B41:C41"/>
    <mergeCell ref="E41:F41"/>
    <mergeCell ref="H41:I41"/>
    <mergeCell ref="H20:L20"/>
    <mergeCell ref="N20:O20"/>
    <mergeCell ref="B34:I34"/>
    <mergeCell ref="L34:T34"/>
    <mergeCell ref="B36:I36"/>
    <mergeCell ref="B37:C37"/>
    <mergeCell ref="E37:F37"/>
    <mergeCell ref="H37:I37"/>
    <mergeCell ref="B18:C18"/>
    <mergeCell ref="E18:F18"/>
    <mergeCell ref="Q18:R18"/>
    <mergeCell ref="B19:C19"/>
    <mergeCell ref="E19:F19"/>
    <mergeCell ref="H19:L19"/>
    <mergeCell ref="N19:O19"/>
    <mergeCell ref="Q19:R19"/>
    <mergeCell ref="B15:C15"/>
    <mergeCell ref="E15:F15"/>
    <mergeCell ref="H15:K15"/>
    <mergeCell ref="N15:O15"/>
    <mergeCell ref="B17:C17"/>
    <mergeCell ref="E17:F17"/>
    <mergeCell ref="H17:K17"/>
    <mergeCell ref="N17:O17"/>
    <mergeCell ref="B11:L11"/>
    <mergeCell ref="N11:O11"/>
    <mergeCell ref="Q11:R11"/>
    <mergeCell ref="B13:C13"/>
    <mergeCell ref="E13:F13"/>
    <mergeCell ref="H13:L13"/>
    <mergeCell ref="N13:O13"/>
    <mergeCell ref="Q13:R13"/>
    <mergeCell ref="P4:U6"/>
    <mergeCell ref="B6:C6"/>
    <mergeCell ref="H6:I6"/>
    <mergeCell ref="L6:M6"/>
    <mergeCell ref="B8:C8"/>
    <mergeCell ref="H8:I8"/>
    <mergeCell ref="L8:M8"/>
    <mergeCell ref="B2:C2"/>
    <mergeCell ref="E2:M2"/>
    <mergeCell ref="B4:C4"/>
    <mergeCell ref="E4:F4"/>
    <mergeCell ref="H4:I4"/>
    <mergeCell ref="L4:M4"/>
  </mergeCells>
  <conditionalFormatting sqref="H63:H65 K3:K7 L3:L9 M3:W3 Q66:Q67 B63:G67 A3:J9 I63:I72 M7:W9 M5:O5 N4:P4 N6:O6 V4:W6 A15 K32:W32 B32:I62 U81:W88 A89:W89 A10:R14 S10:W31 K43:W49 K33:L42 N33:W33 N35:W39 U34:W34 K51:W65 K50:M50 U50:W50 S75:T75 V74:W80 A16:R16 A20:R31 A18:G18 G15 A17:H17 L17:N17 P17:R18 A19:B19 D19:E19 G19:R19 G68 B68 B69:H69 K66:P72 R69 A32:A72 J32:J72 S66:W69 A73:B73 G70:G73 J73:L73 O73:P73 N42:W42 V41:W41 U40:W40 U71:W72 R73:W73">
    <cfRule type="expression" dxfId="3" priority="2" stopIfTrue="1">
      <formula>iserror</formula>
    </cfRule>
  </conditionalFormatting>
  <conditionalFormatting sqref="H66:H67 K8:K9">
    <cfRule type="cellIs" dxfId="2" priority="3" stopIfTrue="1" operator="lessThanOrEqual">
      <formula>0</formula>
    </cfRule>
  </conditionalFormatting>
  <conditionalFormatting sqref="Q68:Q69 H73">
    <cfRule type="cellIs" dxfId="1" priority="4" stopIfTrue="1" operator="lessThanOrEqual">
      <formula>500</formula>
    </cfRule>
  </conditionalFormatting>
  <conditionalFormatting sqref="Q70:Q71 Q73">
    <cfRule type="cellIs" dxfId="0" priority="5" stopIfTrue="1" operator="lessThanOrEqual">
      <formula>750</formula>
    </cfRule>
  </conditionalFormatting>
  <pageMargins left="0.7" right="0.7" top="0.75" bottom="0.75" header="0.3" footer="0.3"/>
  <pageSetup scale="77" orientation="portrait" verticalDpi="12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53EF7EB-F762-4944-BE74-7A7DFD138C1C}">
            <x14:iconSet iconSet="4TrafficLights" custom="1">
              <x14:cfvo type="percent">
                <xm:f>0</xm:f>
              </x14:cfvo>
              <x14:cfvo type="num">
                <xm:f>8</xm:f>
              </x14:cfvo>
              <x14:cfvo type="num">
                <xm:f>17</xm:f>
              </x14:cfvo>
              <x14:cfvo type="num">
                <xm:f>25</xm:f>
              </x14:cfvo>
              <x14:cfIcon iconSet="3TrafficLights1" iconId="0"/>
              <x14:cfIcon iconSet="3TrafficLights1" iconId="2"/>
              <x14:cfIcon iconSet="3TrafficLights1" iconId="1"/>
              <x14:cfIcon iconSet="3TrafficLights1" iconId="0"/>
            </x14:iconSet>
          </x14:cfRule>
          <xm:sqref>H66:H67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'Activity Multiplier'!$A$2:$A$6</xm:f>
          </x14:formula1>
          <xm:sqref>Q70:Q71 R71:T71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:B6"/>
    </sheetView>
  </sheetViews>
  <sheetFormatPr defaultRowHeight="12.75" x14ac:dyDescent="0.2"/>
  <cols>
    <col min="1" max="1" width="48.28515625" customWidth="1"/>
    <col min="2" max="2" width="11.140625" customWidth="1"/>
  </cols>
  <sheetData>
    <row r="1" spans="1:2" x14ac:dyDescent="0.2">
      <c r="A1" t="s">
        <v>48</v>
      </c>
      <c r="B1" t="s">
        <v>49</v>
      </c>
    </row>
    <row r="2" spans="1:2" x14ac:dyDescent="0.2">
      <c r="A2" t="s">
        <v>42</v>
      </c>
      <c r="B2">
        <v>1.2</v>
      </c>
    </row>
    <row r="3" spans="1:2" x14ac:dyDescent="0.2">
      <c r="A3" t="s">
        <v>43</v>
      </c>
      <c r="B3">
        <v>1.375</v>
      </c>
    </row>
    <row r="4" spans="1:2" x14ac:dyDescent="0.2">
      <c r="A4" t="s">
        <v>44</v>
      </c>
      <c r="B4">
        <v>1.55</v>
      </c>
    </row>
    <row r="5" spans="1:2" x14ac:dyDescent="0.2">
      <c r="A5" t="s">
        <v>45</v>
      </c>
      <c r="B5">
        <v>1.7250000000000001</v>
      </c>
    </row>
    <row r="6" spans="1:2" x14ac:dyDescent="0.2">
      <c r="A6" t="s">
        <v>46</v>
      </c>
      <c r="B6">
        <v>1.9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6"/>
  <sheetViews>
    <sheetView workbookViewId="0">
      <selection activeCell="HX6" sqref="HX6"/>
    </sheetView>
  </sheetViews>
  <sheetFormatPr defaultRowHeight="12.75" x14ac:dyDescent="0.2"/>
  <sheetData>
    <row r="1" spans="1:256" x14ac:dyDescent="0.2">
      <c r="A1">
        <f>IF('Body Composition 1'!3:3,"AAAAAHP87wA=",0)</f>
        <v>0</v>
      </c>
      <c r="B1" t="e">
        <f>AND('Body Composition 1'!A3,"AAAAAHP87wE=")</f>
        <v>#VALUE!</v>
      </c>
      <c r="C1" t="e">
        <f>AND('Body Composition 1'!B3,"AAAAAHP87wI=")</f>
        <v>#VALUE!</v>
      </c>
      <c r="D1" t="e">
        <f>AND('Body Composition 1'!C3,"AAAAAHP87wM=")</f>
        <v>#VALUE!</v>
      </c>
      <c r="E1" t="e">
        <f>AND('Body Composition 1'!D3,"AAAAAHP87wQ=")</f>
        <v>#VALUE!</v>
      </c>
      <c r="F1" t="e">
        <f>AND('Body Composition 1'!E3,"AAAAAHP87wU=")</f>
        <v>#VALUE!</v>
      </c>
      <c r="G1" t="e">
        <f>AND('Body Composition 1'!F3,"AAAAAHP87wY=")</f>
        <v>#VALUE!</v>
      </c>
      <c r="H1" t="e">
        <f>AND('Body Composition 1'!G3,"AAAAAHP87wc=")</f>
        <v>#VALUE!</v>
      </c>
      <c r="I1" t="e">
        <f>AND('Body Composition 1'!H3,"AAAAAHP87wg=")</f>
        <v>#VALUE!</v>
      </c>
      <c r="J1" t="e">
        <f>AND('Body Composition 1'!I3,"AAAAAHP87wk=")</f>
        <v>#VALUE!</v>
      </c>
      <c r="K1" t="e">
        <f>AND('Body Composition 1'!J3,"AAAAAHP87wo=")</f>
        <v>#VALUE!</v>
      </c>
      <c r="L1" t="e">
        <f>AND('Body Composition 1'!K3,"AAAAAHP87ws=")</f>
        <v>#VALUE!</v>
      </c>
      <c r="M1" t="e">
        <f>AND('Body Composition 1'!L3,"AAAAAHP87ww=")</f>
        <v>#VALUE!</v>
      </c>
      <c r="N1" t="e">
        <f>AND('Body Composition 1'!M3,"AAAAAHP87w0=")</f>
        <v>#VALUE!</v>
      </c>
      <c r="O1" t="e">
        <f>AND('Body Composition 1'!N3,"AAAAAHP87w4=")</f>
        <v>#VALUE!</v>
      </c>
      <c r="P1" t="e">
        <f>AND('Body Composition 1'!O3,"AAAAAHP87w8=")</f>
        <v>#VALUE!</v>
      </c>
      <c r="Q1" t="e">
        <f>AND('Body Composition 1'!P3,"AAAAAHP87xA=")</f>
        <v>#VALUE!</v>
      </c>
      <c r="R1" t="e">
        <f>AND('Body Composition 1'!Q3,"AAAAAHP87xE=")</f>
        <v>#VALUE!</v>
      </c>
      <c r="S1" t="e">
        <f>AND('Body Composition 1'!R3,"AAAAAHP87xI=")</f>
        <v>#VALUE!</v>
      </c>
      <c r="T1" t="e">
        <f>AND('Body Composition 1'!S3,"AAAAAHP87xM=")</f>
        <v>#VALUE!</v>
      </c>
      <c r="U1" t="e">
        <f>AND('Body Composition 1'!T3,"AAAAAHP87xQ=")</f>
        <v>#VALUE!</v>
      </c>
      <c r="V1" t="e">
        <f>AND('Body Composition 1'!U3,"AAAAAHP87xU=")</f>
        <v>#VALUE!</v>
      </c>
      <c r="W1" t="e">
        <f>AND('Body Composition 1'!V3,"AAAAAHP87xY=")</f>
        <v>#VALUE!</v>
      </c>
      <c r="X1" t="e">
        <f>AND('Body Composition 1'!W3,"AAAAAHP87xc=")</f>
        <v>#VALUE!</v>
      </c>
      <c r="Y1" t="e">
        <f>AND('Body Composition 1'!X3,"AAAAAHP87xg=")</f>
        <v>#VALUE!</v>
      </c>
      <c r="Z1" t="e">
        <f>AND('Body Composition 1'!Y3,"AAAAAHP87xk=")</f>
        <v>#VALUE!</v>
      </c>
      <c r="AA1" t="e">
        <f>AND('Body Composition 1'!Z3,"AAAAAHP87xo=")</f>
        <v>#VALUE!</v>
      </c>
      <c r="AB1" t="e">
        <f>AND('Body Composition 1'!AA3,"AAAAAHP87xs=")</f>
        <v>#VALUE!</v>
      </c>
      <c r="AC1">
        <f>IF('Body Composition 1'!4:4,"AAAAAHP87xw=",0)</f>
        <v>0</v>
      </c>
      <c r="AD1" t="e">
        <f>AND('Body Composition 1'!A4,"AAAAAHP87x0=")</f>
        <v>#VALUE!</v>
      </c>
      <c r="AE1" t="e">
        <f>AND('Body Composition 1'!B4,"AAAAAHP87x4=")</f>
        <v>#VALUE!</v>
      </c>
      <c r="AF1" t="e">
        <f>AND('Body Composition 1'!C4,"AAAAAHP87x8=")</f>
        <v>#VALUE!</v>
      </c>
      <c r="AG1" t="e">
        <f>AND('Body Composition 1'!D4,"AAAAAHP87yA=")</f>
        <v>#VALUE!</v>
      </c>
      <c r="AH1" t="e">
        <f>AND('Body Composition 1'!E4,"AAAAAHP87yE=")</f>
        <v>#VALUE!</v>
      </c>
      <c r="AI1" t="e">
        <f>AND('Body Composition 1'!F4,"AAAAAHP87yI=")</f>
        <v>#VALUE!</v>
      </c>
      <c r="AJ1" t="e">
        <f>AND('Body Composition 1'!G4,"AAAAAHP87yM=")</f>
        <v>#VALUE!</v>
      </c>
      <c r="AK1" t="e">
        <f>AND('Body Composition 1'!H4,"AAAAAHP87yQ=")</f>
        <v>#VALUE!</v>
      </c>
      <c r="AL1" t="e">
        <f>AND('Body Composition 1'!I4,"AAAAAHP87yU=")</f>
        <v>#VALUE!</v>
      </c>
      <c r="AM1" t="e">
        <f>AND('Body Composition 1'!J4,"AAAAAHP87yY=")</f>
        <v>#VALUE!</v>
      </c>
      <c r="AN1" t="e">
        <f>AND('Body Composition 1'!K4,"AAAAAHP87yc=")</f>
        <v>#VALUE!</v>
      </c>
      <c r="AO1" t="e">
        <f>AND('Body Composition 1'!L4,"AAAAAHP87yg=")</f>
        <v>#VALUE!</v>
      </c>
      <c r="AP1" t="e">
        <f>AND('Body Composition 1'!M4,"AAAAAHP87yk=")</f>
        <v>#VALUE!</v>
      </c>
      <c r="AQ1" t="e">
        <f>AND('Body Composition 1'!N4,"AAAAAHP87yo=")</f>
        <v>#VALUE!</v>
      </c>
      <c r="AR1" t="e">
        <f>AND('Body Composition 1'!O4,"AAAAAHP87ys=")</f>
        <v>#VALUE!</v>
      </c>
      <c r="AS1" t="e">
        <f>AND('Body Composition 1'!P4,"AAAAAHP87yw=")</f>
        <v>#VALUE!</v>
      </c>
      <c r="AT1" t="e">
        <f>AND('Body Composition 1'!Q4,"AAAAAHP87y0=")</f>
        <v>#VALUE!</v>
      </c>
      <c r="AU1" t="e">
        <f>AND('Body Composition 1'!R4,"AAAAAHP87y4=")</f>
        <v>#VALUE!</v>
      </c>
      <c r="AV1" t="e">
        <f>AND('Body Composition 1'!S4,"AAAAAHP87y8=")</f>
        <v>#VALUE!</v>
      </c>
      <c r="AW1" t="e">
        <f>AND('Body Composition 1'!T4,"AAAAAHP87zA=")</f>
        <v>#VALUE!</v>
      </c>
      <c r="AX1" t="e">
        <f>AND('Body Composition 1'!U4,"AAAAAHP87zE=")</f>
        <v>#VALUE!</v>
      </c>
      <c r="AY1" t="e">
        <f>AND('Body Composition 1'!V4,"AAAAAHP87zI=")</f>
        <v>#VALUE!</v>
      </c>
      <c r="AZ1" t="e">
        <f>AND('Body Composition 1'!W4,"AAAAAHP87zM=")</f>
        <v>#VALUE!</v>
      </c>
      <c r="BA1" t="e">
        <f>AND('Body Composition 1'!X4,"AAAAAHP87zQ=")</f>
        <v>#VALUE!</v>
      </c>
      <c r="BB1" t="e">
        <f>AND('Body Composition 1'!Y4,"AAAAAHP87zU=")</f>
        <v>#VALUE!</v>
      </c>
      <c r="BC1" t="e">
        <f>AND('Body Composition 1'!Z4,"AAAAAHP87zY=")</f>
        <v>#VALUE!</v>
      </c>
      <c r="BD1" t="e">
        <f>AND('Body Composition 1'!AA4,"AAAAAHP87zc=")</f>
        <v>#VALUE!</v>
      </c>
      <c r="BE1">
        <f>IF('Body Composition 1'!5:5,"AAAAAHP87zg=",0)</f>
        <v>0</v>
      </c>
      <c r="BF1" t="e">
        <f>AND('Body Composition 1'!A5,"AAAAAHP87zk=")</f>
        <v>#VALUE!</v>
      </c>
      <c r="BG1" t="e">
        <f>AND('Body Composition 1'!B5,"AAAAAHP87zo=")</f>
        <v>#VALUE!</v>
      </c>
      <c r="BH1" t="e">
        <f>AND('Body Composition 1'!C5,"AAAAAHP87zs=")</f>
        <v>#VALUE!</v>
      </c>
      <c r="BI1" t="e">
        <f>AND('Body Composition 1'!D5,"AAAAAHP87zw=")</f>
        <v>#VALUE!</v>
      </c>
      <c r="BJ1" t="e">
        <f>AND('Body Composition 1'!E5,"AAAAAHP87z0=")</f>
        <v>#VALUE!</v>
      </c>
      <c r="BK1" t="e">
        <f>AND('Body Composition 1'!F5,"AAAAAHP87z4=")</f>
        <v>#VALUE!</v>
      </c>
      <c r="BL1" t="e">
        <f>AND('Body Composition 1'!G5,"AAAAAHP87z8=")</f>
        <v>#VALUE!</v>
      </c>
      <c r="BM1" t="e">
        <f>AND('Body Composition 1'!H5,"AAAAAHP870A=")</f>
        <v>#VALUE!</v>
      </c>
      <c r="BN1" t="e">
        <f>AND('Body Composition 1'!I5,"AAAAAHP870E=")</f>
        <v>#VALUE!</v>
      </c>
      <c r="BO1" t="e">
        <f>AND('Body Composition 1'!J5,"AAAAAHP870I=")</f>
        <v>#VALUE!</v>
      </c>
      <c r="BP1" t="e">
        <f>AND('Body Composition 1'!K5,"AAAAAHP870M=")</f>
        <v>#VALUE!</v>
      </c>
      <c r="BQ1" t="e">
        <f>AND('Body Composition 1'!L5,"AAAAAHP870Q=")</f>
        <v>#VALUE!</v>
      </c>
      <c r="BR1" t="e">
        <f>AND('Body Composition 1'!M5,"AAAAAHP870U=")</f>
        <v>#VALUE!</v>
      </c>
      <c r="BS1" t="e">
        <f>AND('Body Composition 1'!N5,"AAAAAHP870Y=")</f>
        <v>#VALUE!</v>
      </c>
      <c r="BT1" t="e">
        <f>AND('Body Composition 1'!O5,"AAAAAHP870c=")</f>
        <v>#VALUE!</v>
      </c>
      <c r="BU1" t="e">
        <f>AND('Body Composition 1'!P5,"AAAAAHP870g=")</f>
        <v>#VALUE!</v>
      </c>
      <c r="BV1" t="e">
        <f>AND('Body Composition 1'!Q5,"AAAAAHP870k=")</f>
        <v>#VALUE!</v>
      </c>
      <c r="BW1" t="e">
        <f>AND('Body Composition 1'!R5,"AAAAAHP870o=")</f>
        <v>#VALUE!</v>
      </c>
      <c r="BX1" t="e">
        <f>AND('Body Composition 1'!S5,"AAAAAHP870s=")</f>
        <v>#VALUE!</v>
      </c>
      <c r="BY1" t="e">
        <f>AND('Body Composition 1'!T5,"AAAAAHP870w=")</f>
        <v>#VALUE!</v>
      </c>
      <c r="BZ1" t="e">
        <f>AND('Body Composition 1'!U5,"AAAAAHP8700=")</f>
        <v>#VALUE!</v>
      </c>
      <c r="CA1" t="e">
        <f>AND('Body Composition 1'!V5,"AAAAAHP8704=")</f>
        <v>#VALUE!</v>
      </c>
      <c r="CB1" t="e">
        <f>AND('Body Composition 1'!W5,"AAAAAHP8708=")</f>
        <v>#VALUE!</v>
      </c>
      <c r="CC1" t="e">
        <f>AND('Body Composition 1'!X5,"AAAAAHP871A=")</f>
        <v>#VALUE!</v>
      </c>
      <c r="CD1" t="e">
        <f>AND('Body Composition 1'!Y5,"AAAAAHP871E=")</f>
        <v>#VALUE!</v>
      </c>
      <c r="CE1" t="e">
        <f>AND('Body Composition 1'!Z5,"AAAAAHP871I=")</f>
        <v>#VALUE!</v>
      </c>
      <c r="CF1" t="e">
        <f>AND('Body Composition 1'!AA5,"AAAAAHP871M=")</f>
        <v>#VALUE!</v>
      </c>
      <c r="CG1">
        <f>IF('Body Composition 1'!6:6,"AAAAAHP871Q=",0)</f>
        <v>0</v>
      </c>
      <c r="CH1" t="e">
        <f>AND('Body Composition 1'!A6,"AAAAAHP871U=")</f>
        <v>#VALUE!</v>
      </c>
      <c r="CI1" t="e">
        <f>AND('Body Composition 1'!B6,"AAAAAHP871Y=")</f>
        <v>#VALUE!</v>
      </c>
      <c r="CJ1" t="e">
        <f>AND('Body Composition 1'!C6,"AAAAAHP871c=")</f>
        <v>#VALUE!</v>
      </c>
      <c r="CK1" t="e">
        <f>AND('Body Composition 1'!D6,"AAAAAHP871g=")</f>
        <v>#VALUE!</v>
      </c>
      <c r="CL1" t="e">
        <f>AND('Body Composition 1'!E6,"AAAAAHP871k=")</f>
        <v>#VALUE!</v>
      </c>
      <c r="CM1" t="e">
        <f>AND('Body Composition 1'!F6,"AAAAAHP871o=")</f>
        <v>#VALUE!</v>
      </c>
      <c r="CN1" t="e">
        <f>AND('Body Composition 1'!G6,"AAAAAHP871s=")</f>
        <v>#VALUE!</v>
      </c>
      <c r="CO1" t="e">
        <f>AND('Body Composition 1'!H6,"AAAAAHP871w=")</f>
        <v>#VALUE!</v>
      </c>
      <c r="CP1" t="e">
        <f>AND('Body Composition 1'!I6,"AAAAAHP8710=")</f>
        <v>#VALUE!</v>
      </c>
      <c r="CQ1" t="e">
        <f>AND('Body Composition 1'!J6,"AAAAAHP8714=")</f>
        <v>#VALUE!</v>
      </c>
      <c r="CR1" t="e">
        <f>AND('Body Composition 1'!K6,"AAAAAHP8718=")</f>
        <v>#VALUE!</v>
      </c>
      <c r="CS1" t="e">
        <f>AND('Body Composition 1'!L6,"AAAAAHP872A=")</f>
        <v>#VALUE!</v>
      </c>
      <c r="CT1" t="e">
        <f>AND('Body Composition 1'!M6,"AAAAAHP872E=")</f>
        <v>#VALUE!</v>
      </c>
      <c r="CU1" t="e">
        <f>AND('Body Composition 1'!N6,"AAAAAHP872I=")</f>
        <v>#VALUE!</v>
      </c>
      <c r="CV1" t="e">
        <f>AND('Body Composition 1'!O6,"AAAAAHP872M=")</f>
        <v>#VALUE!</v>
      </c>
      <c r="CW1" t="e">
        <f>AND('Body Composition 1'!P6,"AAAAAHP872Q=")</f>
        <v>#VALUE!</v>
      </c>
      <c r="CX1" t="e">
        <f>AND('Body Composition 1'!Q6,"AAAAAHP872U=")</f>
        <v>#VALUE!</v>
      </c>
      <c r="CY1" t="e">
        <f>AND('Body Composition 1'!R6,"AAAAAHP872Y=")</f>
        <v>#VALUE!</v>
      </c>
      <c r="CZ1" t="e">
        <f>AND('Body Composition 1'!S6,"AAAAAHP872c=")</f>
        <v>#VALUE!</v>
      </c>
      <c r="DA1" t="e">
        <f>AND('Body Composition 1'!T6,"AAAAAHP872g=")</f>
        <v>#VALUE!</v>
      </c>
      <c r="DB1" t="e">
        <f>AND('Body Composition 1'!U6,"AAAAAHP872k=")</f>
        <v>#VALUE!</v>
      </c>
      <c r="DC1" t="e">
        <f>AND('Body Composition 1'!V6,"AAAAAHP872o=")</f>
        <v>#VALUE!</v>
      </c>
      <c r="DD1" t="e">
        <f>AND('Body Composition 1'!W6,"AAAAAHP872s=")</f>
        <v>#VALUE!</v>
      </c>
      <c r="DE1" t="e">
        <f>AND('Body Composition 1'!X6,"AAAAAHP872w=")</f>
        <v>#VALUE!</v>
      </c>
      <c r="DF1" t="e">
        <f>AND('Body Composition 1'!Y6,"AAAAAHP8720=")</f>
        <v>#VALUE!</v>
      </c>
      <c r="DG1" t="e">
        <f>AND('Body Composition 1'!Z6,"AAAAAHP8724=")</f>
        <v>#VALUE!</v>
      </c>
      <c r="DH1" t="e">
        <f>AND('Body Composition 1'!AA6,"AAAAAHP8728=")</f>
        <v>#VALUE!</v>
      </c>
      <c r="DI1">
        <f>IF('Body Composition 1'!7:7,"AAAAAHP873A=",0)</f>
        <v>0</v>
      </c>
      <c r="DJ1" t="e">
        <f>AND('Body Composition 1'!A7,"AAAAAHP873E=")</f>
        <v>#VALUE!</v>
      </c>
      <c r="DK1" t="e">
        <f>AND('Body Composition 1'!B7,"AAAAAHP873I=")</f>
        <v>#VALUE!</v>
      </c>
      <c r="DL1" t="e">
        <f>AND('Body Composition 1'!C7,"AAAAAHP873M=")</f>
        <v>#VALUE!</v>
      </c>
      <c r="DM1" t="e">
        <f>AND('Body Composition 1'!D7,"AAAAAHP873Q=")</f>
        <v>#VALUE!</v>
      </c>
      <c r="DN1" t="e">
        <f>AND('Body Composition 1'!E7,"AAAAAHP873U=")</f>
        <v>#VALUE!</v>
      </c>
      <c r="DO1" t="e">
        <f>AND('Body Composition 1'!F7,"AAAAAHP873Y=")</f>
        <v>#VALUE!</v>
      </c>
      <c r="DP1" t="e">
        <f>AND('Body Composition 1'!G7,"AAAAAHP873c=")</f>
        <v>#VALUE!</v>
      </c>
      <c r="DQ1" t="e">
        <f>AND('Body Composition 1'!H7,"AAAAAHP873g=")</f>
        <v>#VALUE!</v>
      </c>
      <c r="DR1" t="e">
        <f>AND('Body Composition 1'!I7,"AAAAAHP873k=")</f>
        <v>#VALUE!</v>
      </c>
      <c r="DS1" t="e">
        <f>AND('Body Composition 1'!J7,"AAAAAHP873o=")</f>
        <v>#VALUE!</v>
      </c>
      <c r="DT1" t="e">
        <f>AND('Body Composition 1'!K7,"AAAAAHP873s=")</f>
        <v>#VALUE!</v>
      </c>
      <c r="DU1" t="e">
        <f>AND('Body Composition 1'!L7,"AAAAAHP873w=")</f>
        <v>#VALUE!</v>
      </c>
      <c r="DV1" t="e">
        <f>AND('Body Composition 1'!M7,"AAAAAHP8730=")</f>
        <v>#VALUE!</v>
      </c>
      <c r="DW1" t="e">
        <f>AND('Body Composition 1'!N7,"AAAAAHP8734=")</f>
        <v>#VALUE!</v>
      </c>
      <c r="DX1" t="e">
        <f>AND('Body Composition 1'!O7,"AAAAAHP8738=")</f>
        <v>#VALUE!</v>
      </c>
      <c r="DY1" t="e">
        <f>AND('Body Composition 1'!P7,"AAAAAHP874A=")</f>
        <v>#VALUE!</v>
      </c>
      <c r="DZ1" t="e">
        <f>AND('Body Composition 1'!Q7,"AAAAAHP874E=")</f>
        <v>#VALUE!</v>
      </c>
      <c r="EA1" t="e">
        <f>AND('Body Composition 1'!R7,"AAAAAHP874I=")</f>
        <v>#VALUE!</v>
      </c>
      <c r="EB1" t="e">
        <f>AND('Body Composition 1'!S7,"AAAAAHP874M=")</f>
        <v>#VALUE!</v>
      </c>
      <c r="EC1" t="e">
        <f>AND('Body Composition 1'!T7,"AAAAAHP874Q=")</f>
        <v>#VALUE!</v>
      </c>
      <c r="ED1" t="e">
        <f>AND('Body Composition 1'!U7,"AAAAAHP874U=")</f>
        <v>#VALUE!</v>
      </c>
      <c r="EE1" t="e">
        <f>AND('Body Composition 1'!V7,"AAAAAHP874Y=")</f>
        <v>#VALUE!</v>
      </c>
      <c r="EF1" t="e">
        <f>AND('Body Composition 1'!W7,"AAAAAHP874c=")</f>
        <v>#VALUE!</v>
      </c>
      <c r="EG1" t="e">
        <f>AND('Body Composition 1'!X7,"AAAAAHP874g=")</f>
        <v>#VALUE!</v>
      </c>
      <c r="EH1" t="e">
        <f>AND('Body Composition 1'!Y7,"AAAAAHP874k=")</f>
        <v>#VALUE!</v>
      </c>
      <c r="EI1" t="e">
        <f>AND('Body Composition 1'!Z7,"AAAAAHP874o=")</f>
        <v>#VALUE!</v>
      </c>
      <c r="EJ1" t="e">
        <f>AND('Body Composition 1'!AA7,"AAAAAHP874s=")</f>
        <v>#VALUE!</v>
      </c>
      <c r="EK1">
        <f>IF('Body Composition 1'!8:8,"AAAAAHP874w=",0)</f>
        <v>0</v>
      </c>
      <c r="EL1" t="e">
        <f>AND('Body Composition 1'!A8,"AAAAAHP8740=")</f>
        <v>#VALUE!</v>
      </c>
      <c r="EM1" t="e">
        <f>AND('Body Composition 1'!B8,"AAAAAHP8744=")</f>
        <v>#VALUE!</v>
      </c>
      <c r="EN1" t="e">
        <f>AND('Body Composition 1'!C8,"AAAAAHP8748=")</f>
        <v>#VALUE!</v>
      </c>
      <c r="EO1" t="e">
        <f>AND('Body Composition 1'!D8,"AAAAAHP875A=")</f>
        <v>#VALUE!</v>
      </c>
      <c r="EP1" t="e">
        <f>AND('Body Composition 1'!E8,"AAAAAHP875E=")</f>
        <v>#VALUE!</v>
      </c>
      <c r="EQ1" t="e">
        <f>AND('Body Composition 1'!F8,"AAAAAHP875I=")</f>
        <v>#VALUE!</v>
      </c>
      <c r="ER1" t="e">
        <f>AND('Body Composition 1'!G8,"AAAAAHP875M=")</f>
        <v>#VALUE!</v>
      </c>
      <c r="ES1" t="e">
        <f>AND('Body Composition 1'!H8,"AAAAAHP875Q=")</f>
        <v>#VALUE!</v>
      </c>
      <c r="ET1" t="e">
        <f>AND('Body Composition 1'!I8,"AAAAAHP875U=")</f>
        <v>#VALUE!</v>
      </c>
      <c r="EU1" t="e">
        <f>AND('Body Composition 1'!J8,"AAAAAHP875Y=")</f>
        <v>#VALUE!</v>
      </c>
      <c r="EV1" t="e">
        <f>AND('Body Composition 1'!K8,"AAAAAHP875c=")</f>
        <v>#VALUE!</v>
      </c>
      <c r="EW1" t="e">
        <f>AND('Body Composition 1'!L8,"AAAAAHP875g=")</f>
        <v>#VALUE!</v>
      </c>
      <c r="EX1" t="e">
        <f>AND('Body Composition 1'!M8,"AAAAAHP875k=")</f>
        <v>#VALUE!</v>
      </c>
      <c r="EY1" t="e">
        <f>AND('Body Composition 1'!N8,"AAAAAHP875o=")</f>
        <v>#VALUE!</v>
      </c>
      <c r="EZ1" t="e">
        <f>AND('Body Composition 1'!O8,"AAAAAHP875s=")</f>
        <v>#VALUE!</v>
      </c>
      <c r="FA1" t="e">
        <f>AND('Body Composition 1'!P8,"AAAAAHP875w=")</f>
        <v>#VALUE!</v>
      </c>
      <c r="FB1" t="e">
        <f>AND('Body Composition 1'!Q8,"AAAAAHP8750=")</f>
        <v>#VALUE!</v>
      </c>
      <c r="FC1" t="e">
        <f>AND('Body Composition 1'!R8,"AAAAAHP8754=")</f>
        <v>#VALUE!</v>
      </c>
      <c r="FD1" t="e">
        <f>AND('Body Composition 1'!S8,"AAAAAHP8758=")</f>
        <v>#VALUE!</v>
      </c>
      <c r="FE1" t="e">
        <f>AND('Body Composition 1'!T8,"AAAAAHP876A=")</f>
        <v>#VALUE!</v>
      </c>
      <c r="FF1" t="e">
        <f>AND('Body Composition 1'!U8,"AAAAAHP876E=")</f>
        <v>#VALUE!</v>
      </c>
      <c r="FG1" t="e">
        <f>AND('Body Composition 1'!V8,"AAAAAHP876I=")</f>
        <v>#VALUE!</v>
      </c>
      <c r="FH1" t="e">
        <f>AND('Body Composition 1'!W8,"AAAAAHP876M=")</f>
        <v>#VALUE!</v>
      </c>
      <c r="FI1" t="e">
        <f>AND('Body Composition 1'!X8,"AAAAAHP876Q=")</f>
        <v>#VALUE!</v>
      </c>
      <c r="FJ1" t="e">
        <f>AND('Body Composition 1'!Y8,"AAAAAHP876U=")</f>
        <v>#VALUE!</v>
      </c>
      <c r="FK1" t="e">
        <f>AND('Body Composition 1'!Z8,"AAAAAHP876Y=")</f>
        <v>#VALUE!</v>
      </c>
      <c r="FL1" t="e">
        <f>AND('Body Composition 1'!AA8,"AAAAAHP876c=")</f>
        <v>#VALUE!</v>
      </c>
      <c r="FM1">
        <f>IF('Body Composition 1'!32:32,"AAAAAHP876g=",0)</f>
        <v>0</v>
      </c>
      <c r="FN1" t="e">
        <f>AND('Body Composition 1'!A32,"AAAAAHP876k=")</f>
        <v>#VALUE!</v>
      </c>
      <c r="FO1" t="e">
        <f>AND('Body Composition 1'!B32,"AAAAAHP876o=")</f>
        <v>#VALUE!</v>
      </c>
      <c r="FP1" t="e">
        <f>AND('Body Composition 1'!C32,"AAAAAHP876s=")</f>
        <v>#VALUE!</v>
      </c>
      <c r="FQ1" t="e">
        <f>AND('Body Composition 1'!D32,"AAAAAHP876w=")</f>
        <v>#VALUE!</v>
      </c>
      <c r="FR1" t="e">
        <f>AND('Body Composition 1'!E32,"AAAAAHP8760=")</f>
        <v>#VALUE!</v>
      </c>
      <c r="FS1" t="e">
        <f>AND('Body Composition 1'!F32,"AAAAAHP8764=")</f>
        <v>#VALUE!</v>
      </c>
      <c r="FT1" t="e">
        <f>AND('Body Composition 1'!G32,"AAAAAHP8768=")</f>
        <v>#VALUE!</v>
      </c>
      <c r="FU1" t="e">
        <f>AND('Body Composition 1'!H32,"AAAAAHP877A=")</f>
        <v>#VALUE!</v>
      </c>
      <c r="FV1" t="e">
        <f>AND('Body Composition 1'!I32,"AAAAAHP877E=")</f>
        <v>#VALUE!</v>
      </c>
      <c r="FW1" t="e">
        <f>AND('Body Composition 1'!J32,"AAAAAHP877I=")</f>
        <v>#VALUE!</v>
      </c>
      <c r="FX1" t="e">
        <f>AND('Body Composition 1'!K32,"AAAAAHP877M=")</f>
        <v>#VALUE!</v>
      </c>
      <c r="FY1" t="e">
        <f>AND('Body Composition 1'!L32,"AAAAAHP877Q=")</f>
        <v>#VALUE!</v>
      </c>
      <c r="FZ1" t="e">
        <f>AND('Body Composition 1'!M32,"AAAAAHP877U=")</f>
        <v>#VALUE!</v>
      </c>
      <c r="GA1" t="e">
        <f>AND('Body Composition 1'!N32,"AAAAAHP877Y=")</f>
        <v>#VALUE!</v>
      </c>
      <c r="GB1" t="e">
        <f>AND('Body Composition 1'!O32,"AAAAAHP877c=")</f>
        <v>#VALUE!</v>
      </c>
      <c r="GC1" t="e">
        <f>AND('Body Composition 1'!P32,"AAAAAHP877g=")</f>
        <v>#VALUE!</v>
      </c>
      <c r="GD1" t="e">
        <f>AND('Body Composition 1'!Q32,"AAAAAHP877k=")</f>
        <v>#VALUE!</v>
      </c>
      <c r="GE1" t="e">
        <f>AND('Body Composition 1'!R32,"AAAAAHP877o=")</f>
        <v>#VALUE!</v>
      </c>
      <c r="GF1" t="e">
        <f>AND('Body Composition 1'!S32,"AAAAAHP877s=")</f>
        <v>#VALUE!</v>
      </c>
      <c r="GG1" t="e">
        <f>AND('Body Composition 1'!T32,"AAAAAHP877w=")</f>
        <v>#VALUE!</v>
      </c>
      <c r="GH1" t="e">
        <f>AND('Body Composition 1'!U32,"AAAAAHP8770=")</f>
        <v>#VALUE!</v>
      </c>
      <c r="GI1" t="e">
        <f>AND('Body Composition 1'!V32,"AAAAAHP8774=")</f>
        <v>#VALUE!</v>
      </c>
      <c r="GJ1" t="e">
        <f>AND('Body Composition 1'!W32,"AAAAAHP8778=")</f>
        <v>#VALUE!</v>
      </c>
      <c r="GK1" t="e">
        <f>AND('Body Composition 1'!X32,"AAAAAHP878A=")</f>
        <v>#VALUE!</v>
      </c>
      <c r="GL1" t="e">
        <f>AND('Body Composition 1'!Y32,"AAAAAHP878E=")</f>
        <v>#VALUE!</v>
      </c>
      <c r="GM1" t="e">
        <f>AND('Body Composition 1'!Z32,"AAAAAHP878I=")</f>
        <v>#VALUE!</v>
      </c>
      <c r="GN1" t="e">
        <f>AND('Body Composition 1'!AA32,"AAAAAHP878M=")</f>
        <v>#VALUE!</v>
      </c>
      <c r="GO1">
        <f>IF('Body Composition 1'!33:33,"AAAAAHP878Q=",0)</f>
        <v>0</v>
      </c>
      <c r="GP1" t="e">
        <f>AND('Body Composition 1'!A33,"AAAAAHP878U=")</f>
        <v>#VALUE!</v>
      </c>
      <c r="GQ1" t="e">
        <f>AND('Body Composition 1'!B33,"AAAAAHP878Y=")</f>
        <v>#VALUE!</v>
      </c>
      <c r="GR1" t="e">
        <f>AND('Body Composition 1'!C33,"AAAAAHP878c=")</f>
        <v>#VALUE!</v>
      </c>
      <c r="GS1" t="e">
        <f>AND('Body Composition 1'!D33,"AAAAAHP878g=")</f>
        <v>#VALUE!</v>
      </c>
      <c r="GT1" t="e">
        <f>AND('Body Composition 1'!E33,"AAAAAHP878k=")</f>
        <v>#VALUE!</v>
      </c>
      <c r="GU1" t="e">
        <f>AND('Body Composition 1'!F33,"AAAAAHP878o=")</f>
        <v>#VALUE!</v>
      </c>
      <c r="GV1" t="e">
        <f>AND('Body Composition 1'!G33,"AAAAAHP878s=")</f>
        <v>#VALUE!</v>
      </c>
      <c r="GW1" t="e">
        <f>AND('Body Composition 1'!H33,"AAAAAHP878w=")</f>
        <v>#VALUE!</v>
      </c>
      <c r="GX1" t="e">
        <f>AND('Body Composition 1'!I33,"AAAAAHP8780=")</f>
        <v>#VALUE!</v>
      </c>
      <c r="GY1" t="e">
        <f>AND('Body Composition 1'!J33,"AAAAAHP8784=")</f>
        <v>#VALUE!</v>
      </c>
      <c r="GZ1" t="e">
        <f>AND('Body Composition 1'!K33,"AAAAAHP8788=")</f>
        <v>#VALUE!</v>
      </c>
      <c r="HA1" t="e">
        <f>AND('Body Composition 1'!L33,"AAAAAHP879A=")</f>
        <v>#VALUE!</v>
      </c>
      <c r="HB1" t="e">
        <f>AND('Body Composition 1'!M33,"AAAAAHP879E=")</f>
        <v>#VALUE!</v>
      </c>
      <c r="HC1" t="e">
        <f>AND('Body Composition 1'!N33,"AAAAAHP879I=")</f>
        <v>#VALUE!</v>
      </c>
      <c r="HD1" t="e">
        <f>AND('Body Composition 1'!O33,"AAAAAHP879M=")</f>
        <v>#VALUE!</v>
      </c>
      <c r="HE1" t="e">
        <f>AND('Body Composition 1'!P33,"AAAAAHP879Q=")</f>
        <v>#VALUE!</v>
      </c>
      <c r="HF1" t="e">
        <f>AND('Body Composition 1'!Q33,"AAAAAHP879U=")</f>
        <v>#VALUE!</v>
      </c>
      <c r="HG1" t="e">
        <f>AND('Body Composition 1'!R33,"AAAAAHP879Y=")</f>
        <v>#VALUE!</v>
      </c>
      <c r="HH1" t="e">
        <f>AND('Body Composition 1'!S33,"AAAAAHP879c=")</f>
        <v>#VALUE!</v>
      </c>
      <c r="HI1" t="e">
        <f>AND('Body Composition 1'!T33,"AAAAAHP879g=")</f>
        <v>#VALUE!</v>
      </c>
      <c r="HJ1" t="e">
        <f>AND('Body Composition 1'!U33,"AAAAAHP879k=")</f>
        <v>#VALUE!</v>
      </c>
      <c r="HK1" t="e">
        <f>AND('Body Composition 1'!V33,"AAAAAHP879o=")</f>
        <v>#VALUE!</v>
      </c>
      <c r="HL1" t="e">
        <f>AND('Body Composition 1'!W33,"AAAAAHP879s=")</f>
        <v>#VALUE!</v>
      </c>
      <c r="HM1" t="e">
        <f>AND('Body Composition 1'!X33,"AAAAAHP879w=")</f>
        <v>#VALUE!</v>
      </c>
      <c r="HN1" t="e">
        <f>AND('Body Composition 1'!Y33,"AAAAAHP8790=")</f>
        <v>#VALUE!</v>
      </c>
      <c r="HO1" t="e">
        <f>AND('Body Composition 1'!Z33,"AAAAAHP8794=")</f>
        <v>#VALUE!</v>
      </c>
      <c r="HP1" t="e">
        <f>AND('Body Composition 1'!AA33,"AAAAAHP8798=")</f>
        <v>#VALUE!</v>
      </c>
      <c r="HQ1">
        <f>IF('Body Composition 1'!34:34,"AAAAAHP87+A=",0)</f>
        <v>0</v>
      </c>
      <c r="HR1" t="e">
        <f>AND('Body Composition 1'!A34,"AAAAAHP87+E=")</f>
        <v>#VALUE!</v>
      </c>
      <c r="HS1" t="e">
        <f>AND('Body Composition 1'!B34,"AAAAAHP87+I=")</f>
        <v>#VALUE!</v>
      </c>
      <c r="HT1" t="e">
        <f>AND('Body Composition 1'!C34,"AAAAAHP87+M=")</f>
        <v>#VALUE!</v>
      </c>
      <c r="HU1" t="e">
        <f>AND('Body Composition 1'!D34,"AAAAAHP87+Q=")</f>
        <v>#VALUE!</v>
      </c>
      <c r="HV1" t="e">
        <f>AND('Body Composition 1'!E34,"AAAAAHP87+U=")</f>
        <v>#VALUE!</v>
      </c>
      <c r="HW1" t="e">
        <f>AND('Body Composition 1'!F34,"AAAAAHP87+Y=")</f>
        <v>#VALUE!</v>
      </c>
      <c r="HX1" t="e">
        <f>AND('Body Composition 1'!G34,"AAAAAHP87+c=")</f>
        <v>#VALUE!</v>
      </c>
      <c r="HY1" t="e">
        <f>AND('Body Composition 1'!H34,"AAAAAHP87+g=")</f>
        <v>#VALUE!</v>
      </c>
      <c r="HZ1" t="e">
        <f>AND('Body Composition 1'!I34,"AAAAAHP87+k=")</f>
        <v>#VALUE!</v>
      </c>
      <c r="IA1" t="e">
        <f>AND('Body Composition 1'!J34,"AAAAAHP87+o=")</f>
        <v>#VALUE!</v>
      </c>
      <c r="IB1" t="e">
        <f>AND('Body Composition 1'!K34,"AAAAAHP87+s=")</f>
        <v>#VALUE!</v>
      </c>
      <c r="IC1" t="e">
        <f>AND('Body Composition 1'!L34,"AAAAAHP87+w=")</f>
        <v>#VALUE!</v>
      </c>
      <c r="ID1" t="e">
        <f>AND('Body Composition 1'!M34,"AAAAAHP87+0=")</f>
        <v>#VALUE!</v>
      </c>
      <c r="IE1" t="e">
        <f>AND('Body Composition 1'!N34,"AAAAAHP87+4=")</f>
        <v>#VALUE!</v>
      </c>
      <c r="IF1" t="e">
        <f>AND('Body Composition 1'!O34,"AAAAAHP87+8=")</f>
        <v>#VALUE!</v>
      </c>
      <c r="IG1" t="e">
        <f>AND('Body Composition 1'!P34,"AAAAAHP87/A=")</f>
        <v>#VALUE!</v>
      </c>
      <c r="IH1" t="e">
        <f>AND('Body Composition 1'!Q34,"AAAAAHP87/E=")</f>
        <v>#VALUE!</v>
      </c>
      <c r="II1" t="e">
        <f>AND('Body Composition 1'!R34,"AAAAAHP87/I=")</f>
        <v>#VALUE!</v>
      </c>
      <c r="IJ1" t="e">
        <f>AND('Body Composition 1'!S34,"AAAAAHP87/M=")</f>
        <v>#VALUE!</v>
      </c>
      <c r="IK1" t="e">
        <f>AND('Body Composition 1'!T34,"AAAAAHP87/Q=")</f>
        <v>#VALUE!</v>
      </c>
      <c r="IL1" t="e">
        <f>AND('Body Composition 1'!U34,"AAAAAHP87/U=")</f>
        <v>#VALUE!</v>
      </c>
      <c r="IM1" t="e">
        <f>AND('Body Composition 1'!V34,"AAAAAHP87/Y=")</f>
        <v>#VALUE!</v>
      </c>
      <c r="IN1" t="e">
        <f>AND('Body Composition 1'!W34,"AAAAAHP87/c=")</f>
        <v>#VALUE!</v>
      </c>
      <c r="IO1" t="e">
        <f>AND('Body Composition 1'!X34,"AAAAAHP87/g=")</f>
        <v>#VALUE!</v>
      </c>
      <c r="IP1" t="e">
        <f>AND('Body Composition 1'!Y34,"AAAAAHP87/k=")</f>
        <v>#VALUE!</v>
      </c>
      <c r="IQ1" t="e">
        <f>AND('Body Composition 1'!Z34,"AAAAAHP87/o=")</f>
        <v>#VALUE!</v>
      </c>
      <c r="IR1" t="e">
        <f>AND('Body Composition 1'!AA34,"AAAAAHP87/s=")</f>
        <v>#VALUE!</v>
      </c>
      <c r="IS1">
        <f>IF('Body Composition 1'!35:35,"AAAAAHP87/w=",0)</f>
        <v>0</v>
      </c>
      <c r="IT1" t="e">
        <f>AND('Body Composition 1'!A35,"AAAAAHP87/0=")</f>
        <v>#VALUE!</v>
      </c>
      <c r="IU1" t="e">
        <f>AND('Body Composition 1'!B35,"AAAAAHP87/4=")</f>
        <v>#VALUE!</v>
      </c>
      <c r="IV1" t="e">
        <f>AND('Body Composition 1'!C35,"AAAAAHP87/8=")</f>
        <v>#VALUE!</v>
      </c>
    </row>
    <row r="2" spans="1:256" x14ac:dyDescent="0.2">
      <c r="A2" t="e">
        <f>AND('Body Composition 1'!D35,"AAAAAEdu3QA=")</f>
        <v>#VALUE!</v>
      </c>
      <c r="B2" t="e">
        <f>AND('Body Composition 1'!E35,"AAAAAEdu3QE=")</f>
        <v>#VALUE!</v>
      </c>
      <c r="C2" t="e">
        <f>AND('Body Composition 1'!F35,"AAAAAEdu3QI=")</f>
        <v>#VALUE!</v>
      </c>
      <c r="D2" t="e">
        <f>AND('Body Composition 1'!G35,"AAAAAEdu3QM=")</f>
        <v>#VALUE!</v>
      </c>
      <c r="E2" t="e">
        <f>AND('Body Composition 1'!H35,"AAAAAEdu3QQ=")</f>
        <v>#VALUE!</v>
      </c>
      <c r="F2" t="e">
        <f>AND('Body Composition 1'!I35,"AAAAAEdu3QU=")</f>
        <v>#VALUE!</v>
      </c>
      <c r="G2" t="e">
        <f>AND('Body Composition 1'!J35,"AAAAAEdu3QY=")</f>
        <v>#VALUE!</v>
      </c>
      <c r="H2" t="e">
        <f>AND('Body Composition 1'!K35,"AAAAAEdu3Qc=")</f>
        <v>#VALUE!</v>
      </c>
      <c r="I2" t="e">
        <f>AND('Body Composition 1'!L35,"AAAAAEdu3Qg=")</f>
        <v>#VALUE!</v>
      </c>
      <c r="J2" t="e">
        <f>AND('Body Composition 1'!M35,"AAAAAEdu3Qk=")</f>
        <v>#VALUE!</v>
      </c>
      <c r="K2" t="e">
        <f>AND('Body Composition 1'!N35,"AAAAAEdu3Qo=")</f>
        <v>#VALUE!</v>
      </c>
      <c r="L2" t="e">
        <f>AND('Body Composition 1'!O35,"AAAAAEdu3Qs=")</f>
        <v>#VALUE!</v>
      </c>
      <c r="M2" t="e">
        <f>AND('Body Composition 1'!P35,"AAAAAEdu3Qw=")</f>
        <v>#VALUE!</v>
      </c>
      <c r="N2" t="e">
        <f>AND('Body Composition 1'!Q35,"AAAAAEdu3Q0=")</f>
        <v>#VALUE!</v>
      </c>
      <c r="O2" t="e">
        <f>AND('Body Composition 1'!R35,"AAAAAEdu3Q4=")</f>
        <v>#VALUE!</v>
      </c>
      <c r="P2" t="e">
        <f>AND('Body Composition 1'!S35,"AAAAAEdu3Q8=")</f>
        <v>#VALUE!</v>
      </c>
      <c r="Q2" t="e">
        <f>AND('Body Composition 1'!T35,"AAAAAEdu3RA=")</f>
        <v>#VALUE!</v>
      </c>
      <c r="R2" t="e">
        <f>AND('Body Composition 1'!U35,"AAAAAEdu3RE=")</f>
        <v>#VALUE!</v>
      </c>
      <c r="S2" t="e">
        <f>AND('Body Composition 1'!V35,"AAAAAEdu3RI=")</f>
        <v>#VALUE!</v>
      </c>
      <c r="T2" t="e">
        <f>AND('Body Composition 1'!W35,"AAAAAEdu3RM=")</f>
        <v>#VALUE!</v>
      </c>
      <c r="U2" t="e">
        <f>AND('Body Composition 1'!X35,"AAAAAEdu3RQ=")</f>
        <v>#VALUE!</v>
      </c>
      <c r="V2" t="e">
        <f>AND('Body Composition 1'!Y35,"AAAAAEdu3RU=")</f>
        <v>#VALUE!</v>
      </c>
      <c r="W2" t="e">
        <f>AND('Body Composition 1'!Z35,"AAAAAEdu3RY=")</f>
        <v>#VALUE!</v>
      </c>
      <c r="X2" t="e">
        <f>AND('Body Composition 1'!AA35,"AAAAAEdu3Rc=")</f>
        <v>#VALUE!</v>
      </c>
      <c r="Y2">
        <f>IF('Body Composition 1'!36:36,"AAAAAEdu3Rg=",0)</f>
        <v>0</v>
      </c>
      <c r="Z2" t="e">
        <f>AND('Body Composition 1'!A36,"AAAAAEdu3Rk=")</f>
        <v>#VALUE!</v>
      </c>
      <c r="AA2" t="e">
        <f>AND('Body Composition 1'!B36,"AAAAAEdu3Ro=")</f>
        <v>#VALUE!</v>
      </c>
      <c r="AB2" t="e">
        <f>AND('Body Composition 1'!C36,"AAAAAEdu3Rs=")</f>
        <v>#VALUE!</v>
      </c>
      <c r="AC2" t="e">
        <f>AND('Body Composition 1'!D36,"AAAAAEdu3Rw=")</f>
        <v>#VALUE!</v>
      </c>
      <c r="AD2" t="e">
        <f>AND('Body Composition 1'!E36,"AAAAAEdu3R0=")</f>
        <v>#VALUE!</v>
      </c>
      <c r="AE2" t="e">
        <f>AND('Body Composition 1'!F36,"AAAAAEdu3R4=")</f>
        <v>#VALUE!</v>
      </c>
      <c r="AF2" t="e">
        <f>AND('Body Composition 1'!G36,"AAAAAEdu3R8=")</f>
        <v>#VALUE!</v>
      </c>
      <c r="AG2" t="e">
        <f>AND('Body Composition 1'!H36,"AAAAAEdu3SA=")</f>
        <v>#VALUE!</v>
      </c>
      <c r="AH2" t="e">
        <f>AND('Body Composition 1'!I36,"AAAAAEdu3SE=")</f>
        <v>#VALUE!</v>
      </c>
      <c r="AI2" t="e">
        <f>AND('Body Composition 1'!J36,"AAAAAEdu3SI=")</f>
        <v>#VALUE!</v>
      </c>
      <c r="AJ2" t="e">
        <f>AND('Body Composition 1'!K36,"AAAAAEdu3SM=")</f>
        <v>#VALUE!</v>
      </c>
      <c r="AK2" t="e">
        <f>AND('Body Composition 1'!L36,"AAAAAEdu3SQ=")</f>
        <v>#VALUE!</v>
      </c>
      <c r="AL2" t="e">
        <f>AND('Body Composition 1'!M36,"AAAAAEdu3SU=")</f>
        <v>#VALUE!</v>
      </c>
      <c r="AM2" t="e">
        <f>AND('Body Composition 1'!N36,"AAAAAEdu3SY=")</f>
        <v>#VALUE!</v>
      </c>
      <c r="AN2" t="e">
        <f>AND('Body Composition 1'!O36,"AAAAAEdu3Sc=")</f>
        <v>#VALUE!</v>
      </c>
      <c r="AO2" t="e">
        <f>AND('Body Composition 1'!P36,"AAAAAEdu3Sg=")</f>
        <v>#VALUE!</v>
      </c>
      <c r="AP2" t="e">
        <f>AND('Body Composition 1'!Q36,"AAAAAEdu3Sk=")</f>
        <v>#VALUE!</v>
      </c>
      <c r="AQ2" t="e">
        <f>AND('Body Composition 1'!R36,"AAAAAEdu3So=")</f>
        <v>#VALUE!</v>
      </c>
      <c r="AR2" t="e">
        <f>AND('Body Composition 1'!S36,"AAAAAEdu3Ss=")</f>
        <v>#VALUE!</v>
      </c>
      <c r="AS2" t="e">
        <f>AND('Body Composition 1'!T36,"AAAAAEdu3Sw=")</f>
        <v>#VALUE!</v>
      </c>
      <c r="AT2" t="e">
        <f>AND('Body Composition 1'!U36,"AAAAAEdu3S0=")</f>
        <v>#VALUE!</v>
      </c>
      <c r="AU2" t="e">
        <f>AND('Body Composition 1'!V36,"AAAAAEdu3S4=")</f>
        <v>#VALUE!</v>
      </c>
      <c r="AV2" t="e">
        <f>AND('Body Composition 1'!W36,"AAAAAEdu3S8=")</f>
        <v>#VALUE!</v>
      </c>
      <c r="AW2" t="e">
        <f>AND('Body Composition 1'!X36,"AAAAAEdu3TA=")</f>
        <v>#VALUE!</v>
      </c>
      <c r="AX2" t="e">
        <f>AND('Body Composition 1'!Y36,"AAAAAEdu3TE=")</f>
        <v>#VALUE!</v>
      </c>
      <c r="AY2" t="e">
        <f>AND('Body Composition 1'!Z36,"AAAAAEdu3TI=")</f>
        <v>#VALUE!</v>
      </c>
      <c r="AZ2" t="e">
        <f>AND('Body Composition 1'!AA36,"AAAAAEdu3TM=")</f>
        <v>#VALUE!</v>
      </c>
      <c r="BA2">
        <f>IF('Body Composition 1'!37:37,"AAAAAEdu3TQ=",0)</f>
        <v>0</v>
      </c>
      <c r="BB2" t="e">
        <f>AND('Body Composition 1'!A37,"AAAAAEdu3TU=")</f>
        <v>#VALUE!</v>
      </c>
      <c r="BC2" t="e">
        <f>AND('Body Composition 1'!B37,"AAAAAEdu3TY=")</f>
        <v>#VALUE!</v>
      </c>
      <c r="BD2" t="e">
        <f>AND('Body Composition 1'!C37,"AAAAAEdu3Tc=")</f>
        <v>#VALUE!</v>
      </c>
      <c r="BE2" t="e">
        <f>AND('Body Composition 1'!D37,"AAAAAEdu3Tg=")</f>
        <v>#VALUE!</v>
      </c>
      <c r="BF2" t="e">
        <f>AND('Body Composition 1'!E37,"AAAAAEdu3Tk=")</f>
        <v>#VALUE!</v>
      </c>
      <c r="BG2" t="e">
        <f>AND('Body Composition 1'!F37,"AAAAAEdu3To=")</f>
        <v>#VALUE!</v>
      </c>
      <c r="BH2" t="e">
        <f>AND('Body Composition 1'!G37,"AAAAAEdu3Ts=")</f>
        <v>#VALUE!</v>
      </c>
      <c r="BI2" t="e">
        <f>AND('Body Composition 1'!H37,"AAAAAEdu3Tw=")</f>
        <v>#VALUE!</v>
      </c>
      <c r="BJ2" t="e">
        <f>AND('Body Composition 1'!I37,"AAAAAEdu3T0=")</f>
        <v>#VALUE!</v>
      </c>
      <c r="BK2" t="e">
        <f>AND('Body Composition 1'!J37,"AAAAAEdu3T4=")</f>
        <v>#VALUE!</v>
      </c>
      <c r="BL2" t="e">
        <f>AND('Body Composition 1'!K37,"AAAAAEdu3T8=")</f>
        <v>#VALUE!</v>
      </c>
      <c r="BM2" t="e">
        <f>AND('Body Composition 1'!L37,"AAAAAEdu3UA=")</f>
        <v>#VALUE!</v>
      </c>
      <c r="BN2" t="e">
        <f>AND('Body Composition 1'!M37,"AAAAAEdu3UE=")</f>
        <v>#VALUE!</v>
      </c>
      <c r="BO2" t="e">
        <f>AND('Body Composition 1'!N37,"AAAAAEdu3UI=")</f>
        <v>#VALUE!</v>
      </c>
      <c r="BP2" t="e">
        <f>AND('Body Composition 1'!O37,"AAAAAEdu3UM=")</f>
        <v>#VALUE!</v>
      </c>
      <c r="BQ2" t="e">
        <f>AND('Body Composition 1'!P37,"AAAAAEdu3UQ=")</f>
        <v>#VALUE!</v>
      </c>
      <c r="BR2" t="e">
        <f>AND('Body Composition 1'!Q37,"AAAAAEdu3UU=")</f>
        <v>#VALUE!</v>
      </c>
      <c r="BS2" t="e">
        <f>AND('Body Composition 1'!R37,"AAAAAEdu3UY=")</f>
        <v>#VALUE!</v>
      </c>
      <c r="BT2" t="e">
        <f>AND('Body Composition 1'!S37,"AAAAAEdu3Uc=")</f>
        <v>#VALUE!</v>
      </c>
      <c r="BU2" t="e">
        <f>AND('Body Composition 1'!T37,"AAAAAEdu3Ug=")</f>
        <v>#VALUE!</v>
      </c>
      <c r="BV2" t="e">
        <f>AND('Body Composition 1'!U37,"AAAAAEdu3Uk=")</f>
        <v>#VALUE!</v>
      </c>
      <c r="BW2" t="e">
        <f>AND('Body Composition 1'!V37,"AAAAAEdu3Uo=")</f>
        <v>#VALUE!</v>
      </c>
      <c r="BX2" t="e">
        <f>AND('Body Composition 1'!W37,"AAAAAEdu3Us=")</f>
        <v>#VALUE!</v>
      </c>
      <c r="BY2" t="e">
        <f>AND('Body Composition 1'!X37,"AAAAAEdu3Uw=")</f>
        <v>#VALUE!</v>
      </c>
      <c r="BZ2" t="e">
        <f>AND('Body Composition 1'!Y37,"AAAAAEdu3U0=")</f>
        <v>#VALUE!</v>
      </c>
      <c r="CA2" t="e">
        <f>AND('Body Composition 1'!Z37,"AAAAAEdu3U4=")</f>
        <v>#VALUE!</v>
      </c>
      <c r="CB2" t="e">
        <f>AND('Body Composition 1'!AA37,"AAAAAEdu3U8=")</f>
        <v>#VALUE!</v>
      </c>
      <c r="CC2">
        <f>IF('Body Composition 1'!38:38,"AAAAAEdu3VA=",0)</f>
        <v>0</v>
      </c>
      <c r="CD2" t="e">
        <f>AND('Body Composition 1'!A38,"AAAAAEdu3VE=")</f>
        <v>#VALUE!</v>
      </c>
      <c r="CE2" t="e">
        <f>AND('Body Composition 1'!B38,"AAAAAEdu3VI=")</f>
        <v>#VALUE!</v>
      </c>
      <c r="CF2" t="e">
        <f>AND('Body Composition 1'!C38,"AAAAAEdu3VM=")</f>
        <v>#VALUE!</v>
      </c>
      <c r="CG2" t="e">
        <f>AND('Body Composition 1'!D38,"AAAAAEdu3VQ=")</f>
        <v>#VALUE!</v>
      </c>
      <c r="CH2" t="e">
        <f>AND('Body Composition 1'!E38,"AAAAAEdu3VU=")</f>
        <v>#VALUE!</v>
      </c>
      <c r="CI2" t="e">
        <f>AND('Body Composition 1'!F38,"AAAAAEdu3VY=")</f>
        <v>#VALUE!</v>
      </c>
      <c r="CJ2" t="e">
        <f>AND('Body Composition 1'!G38,"AAAAAEdu3Vc=")</f>
        <v>#VALUE!</v>
      </c>
      <c r="CK2" t="e">
        <f>AND('Body Composition 1'!H38,"AAAAAEdu3Vg=")</f>
        <v>#VALUE!</v>
      </c>
      <c r="CL2" t="e">
        <f>AND('Body Composition 1'!I38,"AAAAAEdu3Vk=")</f>
        <v>#VALUE!</v>
      </c>
      <c r="CM2" t="e">
        <f>AND('Body Composition 1'!J38,"AAAAAEdu3Vo=")</f>
        <v>#VALUE!</v>
      </c>
      <c r="CN2" t="e">
        <f>AND('Body Composition 1'!K38,"AAAAAEdu3Vs=")</f>
        <v>#VALUE!</v>
      </c>
      <c r="CO2" t="e">
        <f>AND('Body Composition 1'!L38,"AAAAAEdu3Vw=")</f>
        <v>#VALUE!</v>
      </c>
      <c r="CP2" t="e">
        <f>AND('Body Composition 1'!M38,"AAAAAEdu3V0=")</f>
        <v>#VALUE!</v>
      </c>
      <c r="CQ2" t="e">
        <f>AND('Body Composition 1'!N38,"AAAAAEdu3V4=")</f>
        <v>#VALUE!</v>
      </c>
      <c r="CR2" t="e">
        <f>AND('Body Composition 1'!O38,"AAAAAEdu3V8=")</f>
        <v>#VALUE!</v>
      </c>
      <c r="CS2" t="e">
        <f>AND('Body Composition 1'!P38,"AAAAAEdu3WA=")</f>
        <v>#VALUE!</v>
      </c>
      <c r="CT2" t="e">
        <f>AND('Body Composition 1'!Q38,"AAAAAEdu3WE=")</f>
        <v>#VALUE!</v>
      </c>
      <c r="CU2" t="e">
        <f>AND('Body Composition 1'!R38,"AAAAAEdu3WI=")</f>
        <v>#VALUE!</v>
      </c>
      <c r="CV2" t="e">
        <f>AND('Body Composition 1'!S38,"AAAAAEdu3WM=")</f>
        <v>#VALUE!</v>
      </c>
      <c r="CW2" t="e">
        <f>AND('Body Composition 1'!T38,"AAAAAEdu3WQ=")</f>
        <v>#VALUE!</v>
      </c>
      <c r="CX2" t="e">
        <f>AND('Body Composition 1'!U38,"AAAAAEdu3WU=")</f>
        <v>#VALUE!</v>
      </c>
      <c r="CY2" t="e">
        <f>AND('Body Composition 1'!V38,"AAAAAEdu3WY=")</f>
        <v>#VALUE!</v>
      </c>
      <c r="CZ2" t="e">
        <f>AND('Body Composition 1'!W38,"AAAAAEdu3Wc=")</f>
        <v>#VALUE!</v>
      </c>
      <c r="DA2" t="e">
        <f>AND('Body Composition 1'!X38,"AAAAAEdu3Wg=")</f>
        <v>#VALUE!</v>
      </c>
      <c r="DB2" t="e">
        <f>AND('Body Composition 1'!Y38,"AAAAAEdu3Wk=")</f>
        <v>#VALUE!</v>
      </c>
      <c r="DC2" t="e">
        <f>AND('Body Composition 1'!Z38,"AAAAAEdu3Wo=")</f>
        <v>#VALUE!</v>
      </c>
      <c r="DD2" t="e">
        <f>AND('Body Composition 1'!AA38,"AAAAAEdu3Ws=")</f>
        <v>#VALUE!</v>
      </c>
      <c r="DE2">
        <f>IF('Body Composition 1'!39:39,"AAAAAEdu3Ww=",0)</f>
        <v>0</v>
      </c>
      <c r="DF2" t="e">
        <f>AND('Body Composition 1'!A39,"AAAAAEdu3W0=")</f>
        <v>#VALUE!</v>
      </c>
      <c r="DG2" t="e">
        <f>AND('Body Composition 1'!B39,"AAAAAEdu3W4=")</f>
        <v>#VALUE!</v>
      </c>
      <c r="DH2" t="e">
        <f>AND('Body Composition 1'!C39,"AAAAAEdu3W8=")</f>
        <v>#VALUE!</v>
      </c>
      <c r="DI2" t="e">
        <f>AND('Body Composition 1'!D39,"AAAAAEdu3XA=")</f>
        <v>#VALUE!</v>
      </c>
      <c r="DJ2" t="e">
        <f>AND('Body Composition 1'!E39,"AAAAAEdu3XE=")</f>
        <v>#VALUE!</v>
      </c>
      <c r="DK2" t="e">
        <f>AND('Body Composition 1'!F39,"AAAAAEdu3XI=")</f>
        <v>#VALUE!</v>
      </c>
      <c r="DL2" t="e">
        <f>AND('Body Composition 1'!G39,"AAAAAEdu3XM=")</f>
        <v>#VALUE!</v>
      </c>
      <c r="DM2" t="e">
        <f>AND('Body Composition 1'!H39,"AAAAAEdu3XQ=")</f>
        <v>#VALUE!</v>
      </c>
      <c r="DN2" t="e">
        <f>AND('Body Composition 1'!I39,"AAAAAEdu3XU=")</f>
        <v>#VALUE!</v>
      </c>
      <c r="DO2" t="e">
        <f>AND('Body Composition 1'!J39,"AAAAAEdu3XY=")</f>
        <v>#VALUE!</v>
      </c>
      <c r="DP2" t="e">
        <f>AND('Body Composition 1'!K39,"AAAAAEdu3Xc=")</f>
        <v>#VALUE!</v>
      </c>
      <c r="DQ2" t="e">
        <f>AND('Body Composition 1'!L39,"AAAAAEdu3Xg=")</f>
        <v>#VALUE!</v>
      </c>
      <c r="DR2" t="e">
        <f>AND('Body Composition 1'!M39,"AAAAAEdu3Xk=")</f>
        <v>#VALUE!</v>
      </c>
      <c r="DS2" t="e">
        <f>AND('Body Composition 1'!N39,"AAAAAEdu3Xo=")</f>
        <v>#VALUE!</v>
      </c>
      <c r="DT2" t="e">
        <f>AND('Body Composition 1'!O39,"AAAAAEdu3Xs=")</f>
        <v>#VALUE!</v>
      </c>
      <c r="DU2" t="e">
        <f>AND('Body Composition 1'!P39,"AAAAAEdu3Xw=")</f>
        <v>#VALUE!</v>
      </c>
      <c r="DV2" t="e">
        <f>AND('Body Composition 1'!Q39,"AAAAAEdu3X0=")</f>
        <v>#VALUE!</v>
      </c>
      <c r="DW2" t="e">
        <f>AND('Body Composition 1'!R39,"AAAAAEdu3X4=")</f>
        <v>#VALUE!</v>
      </c>
      <c r="DX2" t="e">
        <f>AND('Body Composition 1'!S39,"AAAAAEdu3X8=")</f>
        <v>#VALUE!</v>
      </c>
      <c r="DY2" t="e">
        <f>AND('Body Composition 1'!T39,"AAAAAEdu3YA=")</f>
        <v>#VALUE!</v>
      </c>
      <c r="DZ2" t="e">
        <f>AND('Body Composition 1'!U39,"AAAAAEdu3YE=")</f>
        <v>#VALUE!</v>
      </c>
      <c r="EA2" t="e">
        <f>AND('Body Composition 1'!V39,"AAAAAEdu3YI=")</f>
        <v>#VALUE!</v>
      </c>
      <c r="EB2" t="e">
        <f>AND('Body Composition 1'!W39,"AAAAAEdu3YM=")</f>
        <v>#VALUE!</v>
      </c>
      <c r="EC2" t="e">
        <f>AND('Body Composition 1'!X39,"AAAAAEdu3YQ=")</f>
        <v>#VALUE!</v>
      </c>
      <c r="ED2" t="e">
        <f>AND('Body Composition 1'!Y39,"AAAAAEdu3YU=")</f>
        <v>#VALUE!</v>
      </c>
      <c r="EE2" t="e">
        <f>AND('Body Composition 1'!Z39,"AAAAAEdu3YY=")</f>
        <v>#VALUE!</v>
      </c>
      <c r="EF2" t="e">
        <f>AND('Body Composition 1'!AA39,"AAAAAEdu3Yc=")</f>
        <v>#VALUE!</v>
      </c>
      <c r="EG2">
        <f>IF('Body Composition 1'!40:40,"AAAAAEdu3Yg=",0)</f>
        <v>0</v>
      </c>
      <c r="EH2" t="e">
        <f>AND('Body Composition 1'!A40,"AAAAAEdu3Yk=")</f>
        <v>#VALUE!</v>
      </c>
      <c r="EI2" t="e">
        <f>AND('Body Composition 1'!B40,"AAAAAEdu3Yo=")</f>
        <v>#VALUE!</v>
      </c>
      <c r="EJ2" t="e">
        <f>AND('Body Composition 1'!C40,"AAAAAEdu3Ys=")</f>
        <v>#VALUE!</v>
      </c>
      <c r="EK2" t="e">
        <f>AND('Body Composition 1'!D40,"AAAAAEdu3Yw=")</f>
        <v>#VALUE!</v>
      </c>
      <c r="EL2" t="e">
        <f>AND('Body Composition 1'!E40,"AAAAAEdu3Y0=")</f>
        <v>#VALUE!</v>
      </c>
      <c r="EM2" t="e">
        <f>AND('Body Composition 1'!F40,"AAAAAEdu3Y4=")</f>
        <v>#VALUE!</v>
      </c>
      <c r="EN2" t="e">
        <f>AND('Body Composition 1'!G40,"AAAAAEdu3Y8=")</f>
        <v>#VALUE!</v>
      </c>
      <c r="EO2" t="e">
        <f>AND('Body Composition 1'!H40,"AAAAAEdu3ZA=")</f>
        <v>#VALUE!</v>
      </c>
      <c r="EP2" t="e">
        <f>AND('Body Composition 1'!I40,"AAAAAEdu3ZE=")</f>
        <v>#VALUE!</v>
      </c>
      <c r="EQ2" t="e">
        <f>AND('Body Composition 1'!J40,"AAAAAEdu3ZI=")</f>
        <v>#VALUE!</v>
      </c>
      <c r="ER2" t="e">
        <f>AND('Body Composition 1'!K40,"AAAAAEdu3ZM=")</f>
        <v>#VALUE!</v>
      </c>
      <c r="ES2" t="e">
        <f>AND('Body Composition 1'!L40,"AAAAAEdu3ZQ=")</f>
        <v>#VALUE!</v>
      </c>
      <c r="ET2" t="e">
        <f>AND('Body Composition 1'!#REF!,"AAAAAEdu3ZU=")</f>
        <v>#REF!</v>
      </c>
      <c r="EU2" t="e">
        <f>AND('Body Composition 1'!N40,"AAAAAEdu3ZY=")</f>
        <v>#VALUE!</v>
      </c>
      <c r="EV2" t="e">
        <f>AND('Body Composition 1'!O40,"AAAAAEdu3Zc=")</f>
        <v>#VALUE!</v>
      </c>
      <c r="EW2" t="e">
        <f>AND('Body Composition 1'!P40,"AAAAAEdu3Zg=")</f>
        <v>#VALUE!</v>
      </c>
      <c r="EX2" t="e">
        <f>AND('Body Composition 1'!Q40,"AAAAAEdu3Zk=")</f>
        <v>#VALUE!</v>
      </c>
      <c r="EY2" t="e">
        <f>AND('Body Composition 1'!R40,"AAAAAEdu3Zo=")</f>
        <v>#VALUE!</v>
      </c>
      <c r="EZ2" t="e">
        <f>AND('Body Composition 1'!S40,"AAAAAEdu3Zs=")</f>
        <v>#VALUE!</v>
      </c>
      <c r="FA2" t="e">
        <f>AND('Body Composition 1'!T40,"AAAAAEdu3Zw=")</f>
        <v>#VALUE!</v>
      </c>
      <c r="FB2" t="e">
        <f>AND('Body Composition 1'!U40,"AAAAAEdu3Z0=")</f>
        <v>#VALUE!</v>
      </c>
      <c r="FC2" t="e">
        <f>AND('Body Composition 1'!V40,"AAAAAEdu3Z4=")</f>
        <v>#VALUE!</v>
      </c>
      <c r="FD2" t="e">
        <f>AND('Body Composition 1'!W40,"AAAAAEdu3Z8=")</f>
        <v>#VALUE!</v>
      </c>
      <c r="FE2" t="e">
        <f>AND('Body Composition 1'!X40,"AAAAAEdu3aA=")</f>
        <v>#VALUE!</v>
      </c>
      <c r="FF2" t="e">
        <f>AND('Body Composition 1'!Y40,"AAAAAEdu3aE=")</f>
        <v>#VALUE!</v>
      </c>
      <c r="FG2" t="e">
        <f>AND('Body Composition 1'!Z40,"AAAAAEdu3aI=")</f>
        <v>#VALUE!</v>
      </c>
      <c r="FH2" t="e">
        <f>AND('Body Composition 1'!AA40,"AAAAAEdu3aM=")</f>
        <v>#VALUE!</v>
      </c>
      <c r="FI2">
        <f>IF('Body Composition 1'!41:41,"AAAAAEdu3aQ=",0)</f>
        <v>0</v>
      </c>
      <c r="FJ2" t="e">
        <f>AND('Body Composition 1'!A41,"AAAAAEdu3aU=")</f>
        <v>#VALUE!</v>
      </c>
      <c r="FK2" t="e">
        <f>AND('Body Composition 1'!B41,"AAAAAEdu3aY=")</f>
        <v>#VALUE!</v>
      </c>
      <c r="FL2" t="e">
        <f>AND('Body Composition 1'!C41,"AAAAAEdu3ac=")</f>
        <v>#VALUE!</v>
      </c>
      <c r="FM2" t="e">
        <f>AND('Body Composition 1'!D41,"AAAAAEdu3ag=")</f>
        <v>#VALUE!</v>
      </c>
      <c r="FN2" t="e">
        <f>AND('Body Composition 1'!E41,"AAAAAEdu3ak=")</f>
        <v>#VALUE!</v>
      </c>
      <c r="FO2" t="e">
        <f>AND('Body Composition 1'!F41,"AAAAAEdu3ao=")</f>
        <v>#VALUE!</v>
      </c>
      <c r="FP2" t="e">
        <f>AND('Body Composition 1'!G41,"AAAAAEdu3as=")</f>
        <v>#VALUE!</v>
      </c>
      <c r="FQ2" t="e">
        <f>AND('Body Composition 1'!H41,"AAAAAEdu3aw=")</f>
        <v>#VALUE!</v>
      </c>
      <c r="FR2" t="e">
        <f>AND('Body Composition 1'!I41,"AAAAAEdu3a0=")</f>
        <v>#VALUE!</v>
      </c>
      <c r="FS2" t="e">
        <f>AND('Body Composition 1'!J41,"AAAAAEdu3a4=")</f>
        <v>#VALUE!</v>
      </c>
      <c r="FT2" t="e">
        <f>AND('Body Composition 1'!K41,"AAAAAEdu3a8=")</f>
        <v>#VALUE!</v>
      </c>
      <c r="FU2" t="e">
        <f>AND('Body Composition 1'!L41,"AAAAAEdu3bA=")</f>
        <v>#VALUE!</v>
      </c>
      <c r="FV2" t="e">
        <f>AND('Body Composition 1'!M40,"AAAAAEdu3bE=")</f>
        <v>#VALUE!</v>
      </c>
      <c r="FW2" t="e">
        <f>AND('Body Composition 1'!N41,"AAAAAEdu3bI=")</f>
        <v>#VALUE!</v>
      </c>
      <c r="FX2" t="e">
        <f>AND('Body Composition 1'!O41,"AAAAAEdu3bM=")</f>
        <v>#VALUE!</v>
      </c>
      <c r="FY2" t="e">
        <f>AND('Body Composition 1'!P41,"AAAAAEdu3bQ=")</f>
        <v>#VALUE!</v>
      </c>
      <c r="FZ2" t="e">
        <f>AND('Body Composition 1'!Q41,"AAAAAEdu3bU=")</f>
        <v>#VALUE!</v>
      </c>
      <c r="GA2" t="e">
        <f>AND('Body Composition 1'!R41,"AAAAAEdu3bY=")</f>
        <v>#VALUE!</v>
      </c>
      <c r="GB2" t="e">
        <f>AND('Body Composition 1'!S41,"AAAAAEdu3bc=")</f>
        <v>#VALUE!</v>
      </c>
      <c r="GC2" t="e">
        <f>AND('Body Composition 1'!T41,"AAAAAEdu3bg=")</f>
        <v>#VALUE!</v>
      </c>
      <c r="GD2" t="e">
        <f>AND('Body Composition 1'!U41,"AAAAAEdu3bk=")</f>
        <v>#VALUE!</v>
      </c>
      <c r="GE2" t="e">
        <f>AND('Body Composition 1'!V41,"AAAAAEdu3bo=")</f>
        <v>#VALUE!</v>
      </c>
      <c r="GF2" t="e">
        <f>AND('Body Composition 1'!W41,"AAAAAEdu3bs=")</f>
        <v>#VALUE!</v>
      </c>
      <c r="GG2" t="e">
        <f>AND('Body Composition 1'!X41,"AAAAAEdu3bw=")</f>
        <v>#VALUE!</v>
      </c>
      <c r="GH2" t="e">
        <f>AND('Body Composition 1'!Y41,"AAAAAEdu3b0=")</f>
        <v>#VALUE!</v>
      </c>
      <c r="GI2" t="e">
        <f>AND('Body Composition 1'!Z41,"AAAAAEdu3b4=")</f>
        <v>#VALUE!</v>
      </c>
      <c r="GJ2" t="e">
        <f>AND('Body Composition 1'!AA41,"AAAAAEdu3b8=")</f>
        <v>#VALUE!</v>
      </c>
      <c r="GK2">
        <f>IF('Body Composition 1'!42:42,"AAAAAEdu3cA=",0)</f>
        <v>0</v>
      </c>
      <c r="GL2" t="e">
        <f>AND('Body Composition 1'!A42,"AAAAAEdu3cE=")</f>
        <v>#VALUE!</v>
      </c>
      <c r="GM2" t="e">
        <f>AND('Body Composition 1'!B42,"AAAAAEdu3cI=")</f>
        <v>#VALUE!</v>
      </c>
      <c r="GN2" t="e">
        <f>AND('Body Composition 1'!C42,"AAAAAEdu3cM=")</f>
        <v>#VALUE!</v>
      </c>
      <c r="GO2" t="e">
        <f>AND('Body Composition 1'!D42,"AAAAAEdu3cQ=")</f>
        <v>#VALUE!</v>
      </c>
      <c r="GP2" t="e">
        <f>AND('Body Composition 1'!E42,"AAAAAEdu3cU=")</f>
        <v>#VALUE!</v>
      </c>
      <c r="GQ2" t="e">
        <f>AND('Body Composition 1'!F42,"AAAAAEdu3cY=")</f>
        <v>#VALUE!</v>
      </c>
      <c r="GR2" t="e">
        <f>AND('Body Composition 1'!G42,"AAAAAEdu3cc=")</f>
        <v>#VALUE!</v>
      </c>
      <c r="GS2" t="e">
        <f>AND('Body Composition 1'!H42,"AAAAAEdu3cg=")</f>
        <v>#VALUE!</v>
      </c>
      <c r="GT2" t="e">
        <f>AND('Body Composition 1'!I42,"AAAAAEdu3ck=")</f>
        <v>#VALUE!</v>
      </c>
      <c r="GU2" t="e">
        <f>AND('Body Composition 1'!J42,"AAAAAEdu3co=")</f>
        <v>#VALUE!</v>
      </c>
      <c r="GV2" t="e">
        <f>AND('Body Composition 1'!K42,"AAAAAEdu3cs=")</f>
        <v>#VALUE!</v>
      </c>
      <c r="GW2" t="e">
        <f>AND('Body Composition 1'!L42,"AAAAAEdu3cw=")</f>
        <v>#VALUE!</v>
      </c>
      <c r="GX2" t="e">
        <f>AND('Body Composition 1'!M42,"AAAAAEdu3c0=")</f>
        <v>#VALUE!</v>
      </c>
      <c r="GY2" t="e">
        <f>AND('Body Composition 1'!N42,"AAAAAEdu3c4=")</f>
        <v>#VALUE!</v>
      </c>
      <c r="GZ2" t="e">
        <f>AND('Body Composition 1'!O42,"AAAAAEdu3c8=")</f>
        <v>#VALUE!</v>
      </c>
      <c r="HA2" t="e">
        <f>AND('Body Composition 1'!P42,"AAAAAEdu3dA=")</f>
        <v>#VALUE!</v>
      </c>
      <c r="HB2" t="e">
        <f>AND('Body Composition 1'!Q42,"AAAAAEdu3dE=")</f>
        <v>#VALUE!</v>
      </c>
      <c r="HC2" t="e">
        <f>AND('Body Composition 1'!R42,"AAAAAEdu3dI=")</f>
        <v>#VALUE!</v>
      </c>
      <c r="HD2" t="e">
        <f>AND('Body Composition 1'!S42,"AAAAAEdu3dM=")</f>
        <v>#VALUE!</v>
      </c>
      <c r="HE2" t="e">
        <f>AND('Body Composition 1'!T42,"AAAAAEdu3dQ=")</f>
        <v>#VALUE!</v>
      </c>
      <c r="HF2" t="e">
        <f>AND('Body Composition 1'!U42,"AAAAAEdu3dU=")</f>
        <v>#VALUE!</v>
      </c>
      <c r="HG2" t="e">
        <f>AND('Body Composition 1'!V42,"AAAAAEdu3dY=")</f>
        <v>#VALUE!</v>
      </c>
      <c r="HH2" t="e">
        <f>AND('Body Composition 1'!W42,"AAAAAEdu3dc=")</f>
        <v>#VALUE!</v>
      </c>
      <c r="HI2" t="e">
        <f>AND('Body Composition 1'!X42,"AAAAAEdu3dg=")</f>
        <v>#VALUE!</v>
      </c>
      <c r="HJ2" t="e">
        <f>AND('Body Composition 1'!Y42,"AAAAAEdu3dk=")</f>
        <v>#VALUE!</v>
      </c>
      <c r="HK2" t="e">
        <f>AND('Body Composition 1'!Z42,"AAAAAEdu3do=")</f>
        <v>#VALUE!</v>
      </c>
      <c r="HL2" t="e">
        <f>AND('Body Composition 1'!AA42,"AAAAAEdu3ds=")</f>
        <v>#VALUE!</v>
      </c>
      <c r="HM2">
        <f>IF('Body Composition 1'!43:43,"AAAAAEdu3dw=",0)</f>
        <v>0</v>
      </c>
      <c r="HN2" t="e">
        <f>AND('Body Composition 1'!A43,"AAAAAEdu3d0=")</f>
        <v>#VALUE!</v>
      </c>
      <c r="HO2" t="e">
        <f>AND('Body Composition 1'!B43,"AAAAAEdu3d4=")</f>
        <v>#VALUE!</v>
      </c>
      <c r="HP2" t="e">
        <f>AND('Body Composition 1'!C43,"AAAAAEdu3d8=")</f>
        <v>#VALUE!</v>
      </c>
      <c r="HQ2" t="e">
        <f>AND('Body Composition 1'!D43,"AAAAAEdu3eA=")</f>
        <v>#VALUE!</v>
      </c>
      <c r="HR2" t="e">
        <f>AND('Body Composition 1'!E43,"AAAAAEdu3eE=")</f>
        <v>#VALUE!</v>
      </c>
      <c r="HS2" t="e">
        <f>AND('Body Composition 1'!F43,"AAAAAEdu3eI=")</f>
        <v>#VALUE!</v>
      </c>
      <c r="HT2" t="e">
        <f>AND('Body Composition 1'!G43,"AAAAAEdu3eM=")</f>
        <v>#VALUE!</v>
      </c>
      <c r="HU2" t="e">
        <f>AND('Body Composition 1'!H43,"AAAAAEdu3eQ=")</f>
        <v>#VALUE!</v>
      </c>
      <c r="HV2" t="e">
        <f>AND('Body Composition 1'!I43,"AAAAAEdu3eU=")</f>
        <v>#VALUE!</v>
      </c>
      <c r="HW2" t="e">
        <f>AND('Body Composition 1'!J43,"AAAAAEdu3eY=")</f>
        <v>#VALUE!</v>
      </c>
      <c r="HX2" t="e">
        <f>AND('Body Composition 1'!K43,"AAAAAEdu3ec=")</f>
        <v>#VALUE!</v>
      </c>
      <c r="HY2" t="e">
        <f>AND('Body Composition 1'!L43,"AAAAAEdu3eg=")</f>
        <v>#VALUE!</v>
      </c>
      <c r="HZ2" t="e">
        <f>AND('Body Composition 1'!M43,"AAAAAEdu3ek=")</f>
        <v>#VALUE!</v>
      </c>
      <c r="IA2" t="e">
        <f>AND('Body Composition 1'!N43,"AAAAAEdu3eo=")</f>
        <v>#VALUE!</v>
      </c>
      <c r="IB2" t="e">
        <f>AND('Body Composition 1'!O43,"AAAAAEdu3es=")</f>
        <v>#VALUE!</v>
      </c>
      <c r="IC2" t="e">
        <f>AND('Body Composition 1'!P43,"AAAAAEdu3ew=")</f>
        <v>#VALUE!</v>
      </c>
      <c r="ID2" t="e">
        <f>AND('Body Composition 1'!Q43,"AAAAAEdu3e0=")</f>
        <v>#VALUE!</v>
      </c>
      <c r="IE2" t="e">
        <f>AND('Body Composition 1'!R43,"AAAAAEdu3e4=")</f>
        <v>#VALUE!</v>
      </c>
      <c r="IF2" t="e">
        <f>AND('Body Composition 1'!S43,"AAAAAEdu3e8=")</f>
        <v>#VALUE!</v>
      </c>
      <c r="IG2" t="e">
        <f>AND('Body Composition 1'!T43,"AAAAAEdu3fA=")</f>
        <v>#VALUE!</v>
      </c>
      <c r="IH2" t="e">
        <f>AND('Body Composition 1'!U43,"AAAAAEdu3fE=")</f>
        <v>#VALUE!</v>
      </c>
      <c r="II2" t="e">
        <f>AND('Body Composition 1'!V43,"AAAAAEdu3fI=")</f>
        <v>#VALUE!</v>
      </c>
      <c r="IJ2" t="e">
        <f>AND('Body Composition 1'!W43,"AAAAAEdu3fM=")</f>
        <v>#VALUE!</v>
      </c>
      <c r="IK2" t="e">
        <f>AND('Body Composition 1'!X43,"AAAAAEdu3fQ=")</f>
        <v>#VALUE!</v>
      </c>
      <c r="IL2" t="e">
        <f>AND('Body Composition 1'!Y43,"AAAAAEdu3fU=")</f>
        <v>#VALUE!</v>
      </c>
      <c r="IM2" t="e">
        <f>AND('Body Composition 1'!Z43,"AAAAAEdu3fY=")</f>
        <v>#VALUE!</v>
      </c>
      <c r="IN2" t="e">
        <f>AND('Body Composition 1'!AA43,"AAAAAEdu3fc=")</f>
        <v>#VALUE!</v>
      </c>
      <c r="IO2">
        <f>IF('Body Composition 1'!44:44,"AAAAAEdu3fg=",0)</f>
        <v>0</v>
      </c>
      <c r="IP2" t="e">
        <f>AND('Body Composition 1'!A44,"AAAAAEdu3fk=")</f>
        <v>#VALUE!</v>
      </c>
      <c r="IQ2" t="e">
        <f>AND('Body Composition 1'!B44,"AAAAAEdu3fo=")</f>
        <v>#VALUE!</v>
      </c>
      <c r="IR2" t="e">
        <f>AND('Body Composition 1'!C44,"AAAAAEdu3fs=")</f>
        <v>#VALUE!</v>
      </c>
      <c r="IS2" t="e">
        <f>AND('Body Composition 1'!D44,"AAAAAEdu3fw=")</f>
        <v>#VALUE!</v>
      </c>
      <c r="IT2" t="e">
        <f>AND('Body Composition 1'!E44,"AAAAAEdu3f0=")</f>
        <v>#VALUE!</v>
      </c>
      <c r="IU2" t="e">
        <f>AND('Body Composition 1'!F44,"AAAAAEdu3f4=")</f>
        <v>#VALUE!</v>
      </c>
      <c r="IV2" t="e">
        <f>AND('Body Composition 1'!G44,"AAAAAEdu3f8=")</f>
        <v>#VALUE!</v>
      </c>
    </row>
    <row r="3" spans="1:256" x14ac:dyDescent="0.2">
      <c r="A3" t="e">
        <f>AND('Body Composition 1'!H44,"AAAAAH1VzwA=")</f>
        <v>#VALUE!</v>
      </c>
      <c r="B3" t="e">
        <f>AND('Body Composition 1'!I44,"AAAAAH1VzwE=")</f>
        <v>#VALUE!</v>
      </c>
      <c r="C3" t="e">
        <f>AND('Body Composition 1'!J44,"AAAAAH1VzwI=")</f>
        <v>#VALUE!</v>
      </c>
      <c r="D3" t="e">
        <f>AND('Body Composition 1'!K44,"AAAAAH1VzwM=")</f>
        <v>#VALUE!</v>
      </c>
      <c r="E3" t="e">
        <f>AND('Body Composition 1'!L44,"AAAAAH1VzwQ=")</f>
        <v>#VALUE!</v>
      </c>
      <c r="F3" t="e">
        <f>AND('Body Composition 1'!M44,"AAAAAH1VzwU=")</f>
        <v>#VALUE!</v>
      </c>
      <c r="G3" t="e">
        <f>AND('Body Composition 1'!N44,"AAAAAH1VzwY=")</f>
        <v>#VALUE!</v>
      </c>
      <c r="H3" t="e">
        <f>AND('Body Composition 1'!O44,"AAAAAH1Vzwc=")</f>
        <v>#VALUE!</v>
      </c>
      <c r="I3" t="e">
        <f>AND('Body Composition 1'!P44,"AAAAAH1Vzwg=")</f>
        <v>#VALUE!</v>
      </c>
      <c r="J3" t="e">
        <f>AND('Body Composition 1'!Q44,"AAAAAH1Vzwk=")</f>
        <v>#VALUE!</v>
      </c>
      <c r="K3" t="e">
        <f>AND('Body Composition 1'!R44,"AAAAAH1Vzwo=")</f>
        <v>#VALUE!</v>
      </c>
      <c r="L3" t="e">
        <f>AND('Body Composition 1'!S44,"AAAAAH1Vzws=")</f>
        <v>#VALUE!</v>
      </c>
      <c r="M3" t="e">
        <f>AND('Body Composition 1'!T44,"AAAAAH1Vzww=")</f>
        <v>#VALUE!</v>
      </c>
      <c r="N3" t="e">
        <f>AND('Body Composition 1'!U44,"AAAAAH1Vzw0=")</f>
        <v>#VALUE!</v>
      </c>
      <c r="O3" t="e">
        <f>AND('Body Composition 1'!V44,"AAAAAH1Vzw4=")</f>
        <v>#VALUE!</v>
      </c>
      <c r="P3" t="e">
        <f>AND('Body Composition 1'!W44,"AAAAAH1Vzw8=")</f>
        <v>#VALUE!</v>
      </c>
      <c r="Q3" t="e">
        <f>AND('Body Composition 1'!X44,"AAAAAH1VzxA=")</f>
        <v>#VALUE!</v>
      </c>
      <c r="R3" t="e">
        <f>AND('Body Composition 1'!Y44,"AAAAAH1VzxE=")</f>
        <v>#VALUE!</v>
      </c>
      <c r="S3" t="e">
        <f>AND('Body Composition 1'!Z44,"AAAAAH1VzxI=")</f>
        <v>#VALUE!</v>
      </c>
      <c r="T3" t="e">
        <f>AND('Body Composition 1'!AA44,"AAAAAH1VzxM=")</f>
        <v>#VALUE!</v>
      </c>
      <c r="U3">
        <f>IF('Body Composition 1'!45:45,"AAAAAH1VzxQ=",0)</f>
        <v>0</v>
      </c>
      <c r="V3" t="e">
        <f>AND('Body Composition 1'!A45,"AAAAAH1VzxU=")</f>
        <v>#VALUE!</v>
      </c>
      <c r="W3" t="e">
        <f>AND('Body Composition 1'!B45,"AAAAAH1VzxY=")</f>
        <v>#VALUE!</v>
      </c>
      <c r="X3" t="e">
        <f>AND('Body Composition 1'!C45,"AAAAAH1Vzxc=")</f>
        <v>#VALUE!</v>
      </c>
      <c r="Y3" t="e">
        <f>AND('Body Composition 1'!D45,"AAAAAH1Vzxg=")</f>
        <v>#VALUE!</v>
      </c>
      <c r="Z3" t="e">
        <f>AND('Body Composition 1'!E45,"AAAAAH1Vzxk=")</f>
        <v>#VALUE!</v>
      </c>
      <c r="AA3" t="e">
        <f>AND('Body Composition 1'!F45,"AAAAAH1Vzxo=")</f>
        <v>#VALUE!</v>
      </c>
      <c r="AB3" t="e">
        <f>AND('Body Composition 1'!G45,"AAAAAH1Vzxs=")</f>
        <v>#VALUE!</v>
      </c>
      <c r="AC3" t="e">
        <f>AND('Body Composition 1'!H45,"AAAAAH1Vzxw=")</f>
        <v>#VALUE!</v>
      </c>
      <c r="AD3" t="e">
        <f>AND('Body Composition 1'!I45,"AAAAAH1Vzx0=")</f>
        <v>#VALUE!</v>
      </c>
      <c r="AE3" t="e">
        <f>AND('Body Composition 1'!J45,"AAAAAH1Vzx4=")</f>
        <v>#VALUE!</v>
      </c>
      <c r="AF3" t="e">
        <f>AND('Body Composition 1'!K45,"AAAAAH1Vzx8=")</f>
        <v>#VALUE!</v>
      </c>
      <c r="AG3" t="e">
        <f>AND('Body Composition 1'!L45,"AAAAAH1VzyA=")</f>
        <v>#VALUE!</v>
      </c>
      <c r="AH3" t="e">
        <f>AND('Body Composition 1'!M45,"AAAAAH1VzyE=")</f>
        <v>#VALUE!</v>
      </c>
      <c r="AI3" t="e">
        <f>AND('Body Composition 1'!N45,"AAAAAH1VzyI=")</f>
        <v>#VALUE!</v>
      </c>
      <c r="AJ3" t="e">
        <f>AND('Body Composition 1'!O45,"AAAAAH1VzyM=")</f>
        <v>#VALUE!</v>
      </c>
      <c r="AK3" t="e">
        <f>AND('Body Composition 1'!P45,"AAAAAH1VzyQ=")</f>
        <v>#VALUE!</v>
      </c>
      <c r="AL3" t="e">
        <f>AND('Body Composition 1'!Q45,"AAAAAH1VzyU=")</f>
        <v>#VALUE!</v>
      </c>
      <c r="AM3" t="e">
        <f>AND('Body Composition 1'!R45,"AAAAAH1VzyY=")</f>
        <v>#VALUE!</v>
      </c>
      <c r="AN3" t="e">
        <f>AND('Body Composition 1'!S45,"AAAAAH1Vzyc=")</f>
        <v>#VALUE!</v>
      </c>
      <c r="AO3" t="e">
        <f>AND('Body Composition 1'!T45,"AAAAAH1Vzyg=")</f>
        <v>#VALUE!</v>
      </c>
      <c r="AP3" t="e">
        <f>AND('Body Composition 1'!U45,"AAAAAH1Vzyk=")</f>
        <v>#VALUE!</v>
      </c>
      <c r="AQ3" t="e">
        <f>AND('Body Composition 1'!V45,"AAAAAH1Vzyo=")</f>
        <v>#VALUE!</v>
      </c>
      <c r="AR3" t="e">
        <f>AND('Body Composition 1'!W45,"AAAAAH1Vzys=")</f>
        <v>#VALUE!</v>
      </c>
      <c r="AS3" t="e">
        <f>AND('Body Composition 1'!X45,"AAAAAH1Vzyw=")</f>
        <v>#VALUE!</v>
      </c>
      <c r="AT3" t="e">
        <f>AND('Body Composition 1'!Y45,"AAAAAH1Vzy0=")</f>
        <v>#VALUE!</v>
      </c>
      <c r="AU3" t="e">
        <f>AND('Body Composition 1'!Z45,"AAAAAH1Vzy4=")</f>
        <v>#VALUE!</v>
      </c>
      <c r="AV3" t="e">
        <f>AND('Body Composition 1'!AA45,"AAAAAH1Vzy8=")</f>
        <v>#VALUE!</v>
      </c>
      <c r="AW3">
        <f>IF('Body Composition 1'!46:46,"AAAAAH1VzzA=",0)</f>
        <v>0</v>
      </c>
      <c r="AX3" t="e">
        <f>AND('Body Composition 1'!A46,"AAAAAH1VzzE=")</f>
        <v>#VALUE!</v>
      </c>
      <c r="AY3" t="e">
        <f>AND('Body Composition 1'!B46,"AAAAAH1VzzI=")</f>
        <v>#VALUE!</v>
      </c>
      <c r="AZ3" t="e">
        <f>AND('Body Composition 1'!C46,"AAAAAH1VzzM=")</f>
        <v>#VALUE!</v>
      </c>
      <c r="BA3" t="e">
        <f>AND('Body Composition 1'!D46,"AAAAAH1VzzQ=")</f>
        <v>#VALUE!</v>
      </c>
      <c r="BB3" t="e">
        <f>AND('Body Composition 1'!E46,"AAAAAH1VzzU=")</f>
        <v>#VALUE!</v>
      </c>
      <c r="BC3" t="e">
        <f>AND('Body Composition 1'!F46,"AAAAAH1VzzY=")</f>
        <v>#VALUE!</v>
      </c>
      <c r="BD3" t="e">
        <f>AND('Body Composition 1'!G46,"AAAAAH1Vzzc=")</f>
        <v>#VALUE!</v>
      </c>
      <c r="BE3" t="e">
        <f>AND('Body Composition 1'!H46,"AAAAAH1Vzzg=")</f>
        <v>#VALUE!</v>
      </c>
      <c r="BF3" t="e">
        <f>AND('Body Composition 1'!I46,"AAAAAH1Vzzk=")</f>
        <v>#VALUE!</v>
      </c>
      <c r="BG3" t="e">
        <f>AND('Body Composition 1'!J46,"AAAAAH1Vzzo=")</f>
        <v>#VALUE!</v>
      </c>
      <c r="BH3" t="e">
        <f>AND('Body Composition 1'!K46,"AAAAAH1Vzzs=")</f>
        <v>#VALUE!</v>
      </c>
      <c r="BI3" t="e">
        <f>AND('Body Composition 1'!L46,"AAAAAH1Vzzw=")</f>
        <v>#VALUE!</v>
      </c>
      <c r="BJ3" t="e">
        <f>AND('Body Composition 1'!M46,"AAAAAH1Vzz0=")</f>
        <v>#VALUE!</v>
      </c>
      <c r="BK3" t="e">
        <f>AND('Body Composition 1'!N46,"AAAAAH1Vzz4=")</f>
        <v>#VALUE!</v>
      </c>
      <c r="BL3" t="e">
        <f>AND('Body Composition 1'!O46,"AAAAAH1Vzz8=")</f>
        <v>#VALUE!</v>
      </c>
      <c r="BM3" t="e">
        <f>AND('Body Composition 1'!P46,"AAAAAH1Vz0A=")</f>
        <v>#VALUE!</v>
      </c>
      <c r="BN3" t="e">
        <f>AND('Body Composition 1'!Q46,"AAAAAH1Vz0E=")</f>
        <v>#VALUE!</v>
      </c>
      <c r="BO3" t="e">
        <f>AND('Body Composition 1'!R46,"AAAAAH1Vz0I=")</f>
        <v>#VALUE!</v>
      </c>
      <c r="BP3" t="e">
        <f>AND('Body Composition 1'!S46,"AAAAAH1Vz0M=")</f>
        <v>#VALUE!</v>
      </c>
      <c r="BQ3" t="e">
        <f>AND('Body Composition 1'!T46,"AAAAAH1Vz0Q=")</f>
        <v>#VALUE!</v>
      </c>
      <c r="BR3" t="e">
        <f>AND('Body Composition 1'!U46,"AAAAAH1Vz0U=")</f>
        <v>#VALUE!</v>
      </c>
      <c r="BS3" t="e">
        <f>AND('Body Composition 1'!V46,"AAAAAH1Vz0Y=")</f>
        <v>#VALUE!</v>
      </c>
      <c r="BT3" t="e">
        <f>AND('Body Composition 1'!W46,"AAAAAH1Vz0c=")</f>
        <v>#VALUE!</v>
      </c>
      <c r="BU3" t="e">
        <f>AND('Body Composition 1'!X46,"AAAAAH1Vz0g=")</f>
        <v>#VALUE!</v>
      </c>
      <c r="BV3" t="e">
        <f>AND('Body Composition 1'!Y46,"AAAAAH1Vz0k=")</f>
        <v>#VALUE!</v>
      </c>
      <c r="BW3" t="e">
        <f>AND('Body Composition 1'!Z46,"AAAAAH1Vz0o=")</f>
        <v>#VALUE!</v>
      </c>
      <c r="BX3" t="e">
        <f>AND('Body Composition 1'!AA46,"AAAAAH1Vz0s=")</f>
        <v>#VALUE!</v>
      </c>
      <c r="BY3">
        <f>IF('Body Composition 1'!47:47,"AAAAAH1Vz0w=",0)</f>
        <v>0</v>
      </c>
      <c r="BZ3" t="e">
        <f>AND('Body Composition 1'!A47,"AAAAAH1Vz00=")</f>
        <v>#VALUE!</v>
      </c>
      <c r="CA3" t="e">
        <f>AND('Body Composition 1'!B47,"AAAAAH1Vz04=")</f>
        <v>#VALUE!</v>
      </c>
      <c r="CB3" t="e">
        <f>AND('Body Composition 1'!C47,"AAAAAH1Vz08=")</f>
        <v>#VALUE!</v>
      </c>
      <c r="CC3" t="e">
        <f>AND('Body Composition 1'!D47,"AAAAAH1Vz1A=")</f>
        <v>#VALUE!</v>
      </c>
      <c r="CD3" t="e">
        <f>AND('Body Composition 1'!E47,"AAAAAH1Vz1E=")</f>
        <v>#VALUE!</v>
      </c>
      <c r="CE3" t="e">
        <f>AND('Body Composition 1'!F47,"AAAAAH1Vz1I=")</f>
        <v>#VALUE!</v>
      </c>
      <c r="CF3" t="e">
        <f>AND('Body Composition 1'!G47,"AAAAAH1Vz1M=")</f>
        <v>#VALUE!</v>
      </c>
      <c r="CG3" t="e">
        <f>AND('Body Composition 1'!H47,"AAAAAH1Vz1Q=")</f>
        <v>#VALUE!</v>
      </c>
      <c r="CH3" t="e">
        <f>AND('Body Composition 1'!I47,"AAAAAH1Vz1U=")</f>
        <v>#VALUE!</v>
      </c>
      <c r="CI3" t="e">
        <f>AND('Body Composition 1'!J47,"AAAAAH1Vz1Y=")</f>
        <v>#VALUE!</v>
      </c>
      <c r="CJ3" t="e">
        <f>AND('Body Composition 1'!K47,"AAAAAH1Vz1c=")</f>
        <v>#VALUE!</v>
      </c>
      <c r="CK3" t="e">
        <f>AND('Body Composition 1'!L47,"AAAAAH1Vz1g=")</f>
        <v>#VALUE!</v>
      </c>
      <c r="CL3" t="e">
        <f>AND('Body Composition 1'!M47,"AAAAAH1Vz1k=")</f>
        <v>#VALUE!</v>
      </c>
      <c r="CM3" t="e">
        <f>AND('Body Composition 1'!N47,"AAAAAH1Vz1o=")</f>
        <v>#VALUE!</v>
      </c>
      <c r="CN3" t="e">
        <f>AND('Body Composition 1'!O47,"AAAAAH1Vz1s=")</f>
        <v>#VALUE!</v>
      </c>
      <c r="CO3" t="e">
        <f>AND('Body Composition 1'!P47,"AAAAAH1Vz1w=")</f>
        <v>#VALUE!</v>
      </c>
      <c r="CP3" t="e">
        <f>AND('Body Composition 1'!Q47,"AAAAAH1Vz10=")</f>
        <v>#VALUE!</v>
      </c>
      <c r="CQ3" t="e">
        <f>AND('Body Composition 1'!R47,"AAAAAH1Vz14=")</f>
        <v>#VALUE!</v>
      </c>
      <c r="CR3" t="e">
        <f>AND('Body Composition 1'!S47,"AAAAAH1Vz18=")</f>
        <v>#VALUE!</v>
      </c>
      <c r="CS3" t="e">
        <f>AND('Body Composition 1'!T47,"AAAAAH1Vz2A=")</f>
        <v>#VALUE!</v>
      </c>
      <c r="CT3" t="e">
        <f>AND('Body Composition 1'!U47,"AAAAAH1Vz2E=")</f>
        <v>#VALUE!</v>
      </c>
      <c r="CU3" t="e">
        <f>AND('Body Composition 1'!V47,"AAAAAH1Vz2I=")</f>
        <v>#VALUE!</v>
      </c>
      <c r="CV3" t="e">
        <f>AND('Body Composition 1'!W47,"AAAAAH1Vz2M=")</f>
        <v>#VALUE!</v>
      </c>
      <c r="CW3" t="e">
        <f>AND('Body Composition 1'!X47,"AAAAAH1Vz2Q=")</f>
        <v>#VALUE!</v>
      </c>
      <c r="CX3" t="e">
        <f>AND('Body Composition 1'!Y47,"AAAAAH1Vz2U=")</f>
        <v>#VALUE!</v>
      </c>
      <c r="CY3" t="e">
        <f>AND('Body Composition 1'!Z47,"AAAAAH1Vz2Y=")</f>
        <v>#VALUE!</v>
      </c>
      <c r="CZ3" t="e">
        <f>AND('Body Composition 1'!AA47,"AAAAAH1Vz2c=")</f>
        <v>#VALUE!</v>
      </c>
      <c r="DA3">
        <f>IF('Body Composition 1'!48:48,"AAAAAH1Vz2g=",0)</f>
        <v>0</v>
      </c>
      <c r="DB3" t="e">
        <f>AND('Body Composition 1'!A48,"AAAAAH1Vz2k=")</f>
        <v>#VALUE!</v>
      </c>
      <c r="DC3" t="e">
        <f>AND('Body Composition 1'!B48,"AAAAAH1Vz2o=")</f>
        <v>#VALUE!</v>
      </c>
      <c r="DD3" t="e">
        <f>AND('Body Composition 1'!C48,"AAAAAH1Vz2s=")</f>
        <v>#VALUE!</v>
      </c>
      <c r="DE3" t="e">
        <f>AND('Body Composition 1'!D48,"AAAAAH1Vz2w=")</f>
        <v>#VALUE!</v>
      </c>
      <c r="DF3" t="e">
        <f>AND('Body Composition 1'!E48,"AAAAAH1Vz20=")</f>
        <v>#VALUE!</v>
      </c>
      <c r="DG3" t="e">
        <f>AND('Body Composition 1'!F48,"AAAAAH1Vz24=")</f>
        <v>#VALUE!</v>
      </c>
      <c r="DH3" t="e">
        <f>AND('Body Composition 1'!G48,"AAAAAH1Vz28=")</f>
        <v>#VALUE!</v>
      </c>
      <c r="DI3" t="e">
        <f>AND('Body Composition 1'!H48,"AAAAAH1Vz3A=")</f>
        <v>#VALUE!</v>
      </c>
      <c r="DJ3" t="e">
        <f>AND('Body Composition 1'!I48,"AAAAAH1Vz3E=")</f>
        <v>#VALUE!</v>
      </c>
      <c r="DK3" t="e">
        <f>AND('Body Composition 1'!J48,"AAAAAH1Vz3I=")</f>
        <v>#VALUE!</v>
      </c>
      <c r="DL3" t="e">
        <f>AND('Body Composition 1'!K48,"AAAAAH1Vz3M=")</f>
        <v>#VALUE!</v>
      </c>
      <c r="DM3" t="e">
        <f>AND('Body Composition 1'!L48,"AAAAAH1Vz3Q=")</f>
        <v>#VALUE!</v>
      </c>
      <c r="DN3" t="e">
        <f>AND('Body Composition 1'!M48,"AAAAAH1Vz3U=")</f>
        <v>#VALUE!</v>
      </c>
      <c r="DO3" t="e">
        <f>AND('Body Composition 1'!N48,"AAAAAH1Vz3Y=")</f>
        <v>#VALUE!</v>
      </c>
      <c r="DP3" t="e">
        <f>AND('Body Composition 1'!O48,"AAAAAH1Vz3c=")</f>
        <v>#VALUE!</v>
      </c>
      <c r="DQ3" t="e">
        <f>AND('Body Composition 1'!P48,"AAAAAH1Vz3g=")</f>
        <v>#VALUE!</v>
      </c>
      <c r="DR3" t="e">
        <f>AND('Body Composition 1'!Q48,"AAAAAH1Vz3k=")</f>
        <v>#VALUE!</v>
      </c>
      <c r="DS3" t="e">
        <f>AND('Body Composition 1'!R48,"AAAAAH1Vz3o=")</f>
        <v>#VALUE!</v>
      </c>
      <c r="DT3" t="e">
        <f>AND('Body Composition 1'!S48,"AAAAAH1Vz3s=")</f>
        <v>#VALUE!</v>
      </c>
      <c r="DU3" t="e">
        <f>AND('Body Composition 1'!T48,"AAAAAH1Vz3w=")</f>
        <v>#VALUE!</v>
      </c>
      <c r="DV3" t="e">
        <f>AND('Body Composition 1'!U48,"AAAAAH1Vz30=")</f>
        <v>#VALUE!</v>
      </c>
      <c r="DW3" t="e">
        <f>AND('Body Composition 1'!V48,"AAAAAH1Vz34=")</f>
        <v>#VALUE!</v>
      </c>
      <c r="DX3" t="e">
        <f>AND('Body Composition 1'!W48,"AAAAAH1Vz38=")</f>
        <v>#VALUE!</v>
      </c>
      <c r="DY3" t="e">
        <f>AND('Body Composition 1'!X48,"AAAAAH1Vz4A=")</f>
        <v>#VALUE!</v>
      </c>
      <c r="DZ3" t="e">
        <f>AND('Body Composition 1'!Y48,"AAAAAH1Vz4E=")</f>
        <v>#VALUE!</v>
      </c>
      <c r="EA3" t="e">
        <f>AND('Body Composition 1'!Z48,"AAAAAH1Vz4I=")</f>
        <v>#VALUE!</v>
      </c>
      <c r="EB3" t="e">
        <f>AND('Body Composition 1'!AA48,"AAAAAH1Vz4M=")</f>
        <v>#VALUE!</v>
      </c>
      <c r="EC3">
        <f>IF('Body Composition 1'!49:49,"AAAAAH1Vz4Q=",0)</f>
        <v>0</v>
      </c>
      <c r="ED3" t="e">
        <f>AND('Body Composition 1'!A49,"AAAAAH1Vz4U=")</f>
        <v>#VALUE!</v>
      </c>
      <c r="EE3" t="e">
        <f>AND('Body Composition 1'!B49,"AAAAAH1Vz4Y=")</f>
        <v>#VALUE!</v>
      </c>
      <c r="EF3" t="e">
        <f>AND('Body Composition 1'!C49,"AAAAAH1Vz4c=")</f>
        <v>#VALUE!</v>
      </c>
      <c r="EG3" t="e">
        <f>AND('Body Composition 1'!D49,"AAAAAH1Vz4g=")</f>
        <v>#VALUE!</v>
      </c>
      <c r="EH3" t="e">
        <f>AND('Body Composition 1'!E49,"AAAAAH1Vz4k=")</f>
        <v>#VALUE!</v>
      </c>
      <c r="EI3" t="e">
        <f>AND('Body Composition 1'!F49,"AAAAAH1Vz4o=")</f>
        <v>#VALUE!</v>
      </c>
      <c r="EJ3" t="e">
        <f>AND('Body Composition 1'!G49,"AAAAAH1Vz4s=")</f>
        <v>#VALUE!</v>
      </c>
      <c r="EK3" t="e">
        <f>AND('Body Composition 1'!H49,"AAAAAH1Vz4w=")</f>
        <v>#VALUE!</v>
      </c>
      <c r="EL3" t="e">
        <f>AND('Body Composition 1'!I49,"AAAAAH1Vz40=")</f>
        <v>#VALUE!</v>
      </c>
      <c r="EM3" t="e">
        <f>AND('Body Composition 1'!J49,"AAAAAH1Vz44=")</f>
        <v>#VALUE!</v>
      </c>
      <c r="EN3" t="e">
        <f>AND('Body Composition 1'!K49,"AAAAAH1Vz48=")</f>
        <v>#VALUE!</v>
      </c>
      <c r="EO3" t="e">
        <f>AND('Body Composition 1'!L49,"AAAAAH1Vz5A=")</f>
        <v>#VALUE!</v>
      </c>
      <c r="EP3" t="e">
        <f>AND('Body Composition 1'!M49,"AAAAAH1Vz5E=")</f>
        <v>#VALUE!</v>
      </c>
      <c r="EQ3" t="e">
        <f>AND('Body Composition 1'!N49,"AAAAAH1Vz5I=")</f>
        <v>#VALUE!</v>
      </c>
      <c r="ER3" t="e">
        <f>AND('Body Composition 1'!O49,"AAAAAH1Vz5M=")</f>
        <v>#VALUE!</v>
      </c>
      <c r="ES3" t="e">
        <f>AND('Body Composition 1'!P49,"AAAAAH1Vz5Q=")</f>
        <v>#VALUE!</v>
      </c>
      <c r="ET3" t="e">
        <f>AND('Body Composition 1'!Q49,"AAAAAH1Vz5U=")</f>
        <v>#VALUE!</v>
      </c>
      <c r="EU3" t="e">
        <f>AND('Body Composition 1'!R49,"AAAAAH1Vz5Y=")</f>
        <v>#VALUE!</v>
      </c>
      <c r="EV3" t="e">
        <f>AND('Body Composition 1'!S49,"AAAAAH1Vz5c=")</f>
        <v>#VALUE!</v>
      </c>
      <c r="EW3" t="e">
        <f>AND('Body Composition 1'!T49,"AAAAAH1Vz5g=")</f>
        <v>#VALUE!</v>
      </c>
      <c r="EX3" t="e">
        <f>AND('Body Composition 1'!U49,"AAAAAH1Vz5k=")</f>
        <v>#VALUE!</v>
      </c>
      <c r="EY3" t="e">
        <f>AND('Body Composition 1'!V49,"AAAAAH1Vz5o=")</f>
        <v>#VALUE!</v>
      </c>
      <c r="EZ3" t="e">
        <f>AND('Body Composition 1'!W49,"AAAAAH1Vz5s=")</f>
        <v>#VALUE!</v>
      </c>
      <c r="FA3" t="e">
        <f>AND('Body Composition 1'!X49,"AAAAAH1Vz5w=")</f>
        <v>#VALUE!</v>
      </c>
      <c r="FB3" t="e">
        <f>AND('Body Composition 1'!Y49,"AAAAAH1Vz50=")</f>
        <v>#VALUE!</v>
      </c>
      <c r="FC3" t="e">
        <f>AND('Body Composition 1'!Z49,"AAAAAH1Vz54=")</f>
        <v>#VALUE!</v>
      </c>
      <c r="FD3" t="e">
        <f>AND('Body Composition 1'!AA49,"AAAAAH1Vz58=")</f>
        <v>#VALUE!</v>
      </c>
      <c r="FE3">
        <f>IF('Body Composition 1'!50:50,"AAAAAH1Vz6A=",0)</f>
        <v>0</v>
      </c>
      <c r="FF3" t="e">
        <f>AND('Body Composition 1'!A50,"AAAAAH1Vz6E=")</f>
        <v>#VALUE!</v>
      </c>
      <c r="FG3" t="e">
        <f>AND('Body Composition 1'!B50,"AAAAAH1Vz6I=")</f>
        <v>#VALUE!</v>
      </c>
      <c r="FH3" t="e">
        <f>AND('Body Composition 1'!C50,"AAAAAH1Vz6M=")</f>
        <v>#VALUE!</v>
      </c>
      <c r="FI3" t="e">
        <f>AND('Body Composition 1'!D50,"AAAAAH1Vz6Q=")</f>
        <v>#VALUE!</v>
      </c>
      <c r="FJ3" t="e">
        <f>AND('Body Composition 1'!E50,"AAAAAH1Vz6U=")</f>
        <v>#VALUE!</v>
      </c>
      <c r="FK3" t="e">
        <f>AND('Body Composition 1'!F50,"AAAAAH1Vz6Y=")</f>
        <v>#VALUE!</v>
      </c>
      <c r="FL3" t="e">
        <f>AND('Body Composition 1'!G50,"AAAAAH1Vz6c=")</f>
        <v>#VALUE!</v>
      </c>
      <c r="FM3" t="e">
        <f>AND('Body Composition 1'!H50,"AAAAAH1Vz6g=")</f>
        <v>#VALUE!</v>
      </c>
      <c r="FN3" t="e">
        <f>AND('Body Composition 1'!I50,"AAAAAH1Vz6k=")</f>
        <v>#VALUE!</v>
      </c>
      <c r="FO3" t="e">
        <f>AND('Body Composition 1'!J50,"AAAAAH1Vz6o=")</f>
        <v>#VALUE!</v>
      </c>
      <c r="FP3" t="e">
        <f>AND('Body Composition 1'!K50,"AAAAAH1Vz6s=")</f>
        <v>#VALUE!</v>
      </c>
      <c r="FQ3" t="e">
        <f>AND('Body Composition 1'!L50,"AAAAAH1Vz6w=")</f>
        <v>#VALUE!</v>
      </c>
      <c r="FR3" t="e">
        <f>AND('Body Composition 1'!M50,"AAAAAH1Vz60=")</f>
        <v>#VALUE!</v>
      </c>
      <c r="FS3" t="e">
        <f>AND('Body Composition 1'!N50,"AAAAAH1Vz64=")</f>
        <v>#VALUE!</v>
      </c>
      <c r="FT3" t="e">
        <f>AND('Body Composition 1'!O50,"AAAAAH1Vz68=")</f>
        <v>#VALUE!</v>
      </c>
      <c r="FU3" t="e">
        <f>AND('Body Composition 1'!P50,"AAAAAH1Vz7A=")</f>
        <v>#VALUE!</v>
      </c>
      <c r="FV3" t="e">
        <f>AND('Body Composition 1'!Q50,"AAAAAH1Vz7E=")</f>
        <v>#VALUE!</v>
      </c>
      <c r="FW3" t="e">
        <f>AND('Body Composition 1'!R50,"AAAAAH1Vz7I=")</f>
        <v>#VALUE!</v>
      </c>
      <c r="FX3" t="e">
        <f>AND('Body Composition 1'!S50,"AAAAAH1Vz7M=")</f>
        <v>#VALUE!</v>
      </c>
      <c r="FY3" t="e">
        <f>AND('Body Composition 1'!T50,"AAAAAH1Vz7Q=")</f>
        <v>#VALUE!</v>
      </c>
      <c r="FZ3" t="e">
        <f>AND('Body Composition 1'!U50,"AAAAAH1Vz7U=")</f>
        <v>#VALUE!</v>
      </c>
      <c r="GA3" t="e">
        <f>AND('Body Composition 1'!V50,"AAAAAH1Vz7Y=")</f>
        <v>#VALUE!</v>
      </c>
      <c r="GB3" t="e">
        <f>AND('Body Composition 1'!W50,"AAAAAH1Vz7c=")</f>
        <v>#VALUE!</v>
      </c>
      <c r="GC3" t="e">
        <f>AND('Body Composition 1'!X50,"AAAAAH1Vz7g=")</f>
        <v>#VALUE!</v>
      </c>
      <c r="GD3" t="e">
        <f>AND('Body Composition 1'!Y50,"AAAAAH1Vz7k=")</f>
        <v>#VALUE!</v>
      </c>
      <c r="GE3" t="e">
        <f>AND('Body Composition 1'!Z50,"AAAAAH1Vz7o=")</f>
        <v>#VALUE!</v>
      </c>
      <c r="GF3" t="e">
        <f>AND('Body Composition 1'!AA50,"AAAAAH1Vz7s=")</f>
        <v>#VALUE!</v>
      </c>
      <c r="GG3">
        <f>IF('Body Composition 1'!51:51,"AAAAAH1Vz7w=",0)</f>
        <v>0</v>
      </c>
      <c r="GH3" t="e">
        <f>AND('Body Composition 1'!A51,"AAAAAH1Vz70=")</f>
        <v>#VALUE!</v>
      </c>
      <c r="GI3" t="e">
        <f>AND('Body Composition 1'!B51,"AAAAAH1Vz74=")</f>
        <v>#VALUE!</v>
      </c>
      <c r="GJ3" t="e">
        <f>AND('Body Composition 1'!C51,"AAAAAH1Vz78=")</f>
        <v>#VALUE!</v>
      </c>
      <c r="GK3" t="e">
        <f>AND('Body Composition 1'!D51,"AAAAAH1Vz8A=")</f>
        <v>#VALUE!</v>
      </c>
      <c r="GL3" t="e">
        <f>AND('Body Composition 1'!E51,"AAAAAH1Vz8E=")</f>
        <v>#VALUE!</v>
      </c>
      <c r="GM3" t="e">
        <f>AND('Body Composition 1'!F51,"AAAAAH1Vz8I=")</f>
        <v>#VALUE!</v>
      </c>
      <c r="GN3" t="e">
        <f>AND('Body Composition 1'!G51,"AAAAAH1Vz8M=")</f>
        <v>#VALUE!</v>
      </c>
      <c r="GO3" t="e">
        <f>AND('Body Composition 1'!H51,"AAAAAH1Vz8Q=")</f>
        <v>#VALUE!</v>
      </c>
      <c r="GP3" t="e">
        <f>AND('Body Composition 1'!I51,"AAAAAH1Vz8U=")</f>
        <v>#VALUE!</v>
      </c>
      <c r="GQ3" t="e">
        <f>AND('Body Composition 1'!J51,"AAAAAH1Vz8Y=")</f>
        <v>#VALUE!</v>
      </c>
      <c r="GR3" t="e">
        <f>AND('Body Composition 1'!K51,"AAAAAH1Vz8c=")</f>
        <v>#VALUE!</v>
      </c>
      <c r="GS3" t="e">
        <f>AND('Body Composition 1'!L51,"AAAAAH1Vz8g=")</f>
        <v>#VALUE!</v>
      </c>
      <c r="GT3" t="e">
        <f>AND('Body Composition 1'!M51,"AAAAAH1Vz8k=")</f>
        <v>#VALUE!</v>
      </c>
      <c r="GU3" t="e">
        <f>AND('Body Composition 1'!N51,"AAAAAH1Vz8o=")</f>
        <v>#VALUE!</v>
      </c>
      <c r="GV3" t="e">
        <f>AND('Body Composition 1'!O51,"AAAAAH1Vz8s=")</f>
        <v>#VALUE!</v>
      </c>
      <c r="GW3" t="e">
        <f>AND('Body Composition 1'!P51,"AAAAAH1Vz8w=")</f>
        <v>#VALUE!</v>
      </c>
      <c r="GX3" t="e">
        <f>AND('Body Composition 1'!Q51,"AAAAAH1Vz80=")</f>
        <v>#VALUE!</v>
      </c>
      <c r="GY3" t="e">
        <f>AND('Body Composition 1'!R51,"AAAAAH1Vz84=")</f>
        <v>#VALUE!</v>
      </c>
      <c r="GZ3" t="e">
        <f>AND('Body Composition 1'!S51,"AAAAAH1Vz88=")</f>
        <v>#VALUE!</v>
      </c>
      <c r="HA3" t="e">
        <f>AND('Body Composition 1'!T51,"AAAAAH1Vz9A=")</f>
        <v>#VALUE!</v>
      </c>
      <c r="HB3" t="e">
        <f>AND('Body Composition 1'!U51,"AAAAAH1Vz9E=")</f>
        <v>#VALUE!</v>
      </c>
      <c r="HC3" t="e">
        <f>AND('Body Composition 1'!V51,"AAAAAH1Vz9I=")</f>
        <v>#VALUE!</v>
      </c>
      <c r="HD3" t="e">
        <f>AND('Body Composition 1'!W51,"AAAAAH1Vz9M=")</f>
        <v>#VALUE!</v>
      </c>
      <c r="HE3" t="e">
        <f>AND('Body Composition 1'!X51,"AAAAAH1Vz9Q=")</f>
        <v>#VALUE!</v>
      </c>
      <c r="HF3" t="e">
        <f>AND('Body Composition 1'!Y51,"AAAAAH1Vz9U=")</f>
        <v>#VALUE!</v>
      </c>
      <c r="HG3" t="e">
        <f>AND('Body Composition 1'!Z51,"AAAAAH1Vz9Y=")</f>
        <v>#VALUE!</v>
      </c>
      <c r="HH3" t="e">
        <f>AND('Body Composition 1'!AA51,"AAAAAH1Vz9c=")</f>
        <v>#VALUE!</v>
      </c>
      <c r="HI3">
        <f>IF('Body Composition 1'!52:52,"AAAAAH1Vz9g=",0)</f>
        <v>0</v>
      </c>
      <c r="HJ3" t="e">
        <f>AND('Body Composition 1'!A52,"AAAAAH1Vz9k=")</f>
        <v>#VALUE!</v>
      </c>
      <c r="HK3" t="e">
        <f>AND('Body Composition 1'!B52,"AAAAAH1Vz9o=")</f>
        <v>#VALUE!</v>
      </c>
      <c r="HL3" t="e">
        <f>AND('Body Composition 1'!C52,"AAAAAH1Vz9s=")</f>
        <v>#VALUE!</v>
      </c>
      <c r="HM3" t="e">
        <f>AND('Body Composition 1'!D52,"AAAAAH1Vz9w=")</f>
        <v>#VALUE!</v>
      </c>
      <c r="HN3" t="e">
        <f>AND('Body Composition 1'!E52,"AAAAAH1Vz90=")</f>
        <v>#VALUE!</v>
      </c>
      <c r="HO3" t="e">
        <f>AND('Body Composition 1'!F52,"AAAAAH1Vz94=")</f>
        <v>#VALUE!</v>
      </c>
      <c r="HP3" t="e">
        <f>AND('Body Composition 1'!G52,"AAAAAH1Vz98=")</f>
        <v>#VALUE!</v>
      </c>
      <c r="HQ3" t="e">
        <f>AND('Body Composition 1'!H52,"AAAAAH1Vz+A=")</f>
        <v>#VALUE!</v>
      </c>
      <c r="HR3" t="e">
        <f>AND('Body Composition 1'!I52,"AAAAAH1Vz+E=")</f>
        <v>#VALUE!</v>
      </c>
      <c r="HS3" t="e">
        <f>AND('Body Composition 1'!J52,"AAAAAH1Vz+I=")</f>
        <v>#VALUE!</v>
      </c>
      <c r="HT3" t="e">
        <f>AND('Body Composition 1'!K52,"AAAAAH1Vz+M=")</f>
        <v>#VALUE!</v>
      </c>
      <c r="HU3" t="e">
        <f>AND('Body Composition 1'!L52,"AAAAAH1Vz+Q=")</f>
        <v>#VALUE!</v>
      </c>
      <c r="HV3" t="e">
        <f>AND('Body Composition 1'!M52,"AAAAAH1Vz+U=")</f>
        <v>#VALUE!</v>
      </c>
      <c r="HW3" t="e">
        <f>AND('Body Composition 1'!N52,"AAAAAH1Vz+Y=")</f>
        <v>#VALUE!</v>
      </c>
      <c r="HX3" t="e">
        <f>AND('Body Composition 1'!O52,"AAAAAH1Vz+c=")</f>
        <v>#VALUE!</v>
      </c>
      <c r="HY3" t="e">
        <f>AND('Body Composition 1'!P52,"AAAAAH1Vz+g=")</f>
        <v>#VALUE!</v>
      </c>
      <c r="HZ3" t="e">
        <f>AND('Body Composition 1'!Q52,"AAAAAH1Vz+k=")</f>
        <v>#VALUE!</v>
      </c>
      <c r="IA3" t="e">
        <f>AND('Body Composition 1'!R52,"AAAAAH1Vz+o=")</f>
        <v>#VALUE!</v>
      </c>
      <c r="IB3" t="e">
        <f>AND('Body Composition 1'!S52,"AAAAAH1Vz+s=")</f>
        <v>#VALUE!</v>
      </c>
      <c r="IC3" t="e">
        <f>AND('Body Composition 1'!T52,"AAAAAH1Vz+w=")</f>
        <v>#VALUE!</v>
      </c>
      <c r="ID3" t="e">
        <f>AND('Body Composition 1'!U52,"AAAAAH1Vz+0=")</f>
        <v>#VALUE!</v>
      </c>
      <c r="IE3" t="e">
        <f>AND('Body Composition 1'!V52,"AAAAAH1Vz+4=")</f>
        <v>#VALUE!</v>
      </c>
      <c r="IF3" t="e">
        <f>AND('Body Composition 1'!W52,"AAAAAH1Vz+8=")</f>
        <v>#VALUE!</v>
      </c>
      <c r="IG3" t="e">
        <f>AND('Body Composition 1'!X52,"AAAAAH1Vz/A=")</f>
        <v>#VALUE!</v>
      </c>
      <c r="IH3" t="e">
        <f>AND('Body Composition 1'!Y52,"AAAAAH1Vz/E=")</f>
        <v>#VALUE!</v>
      </c>
      <c r="II3" t="e">
        <f>AND('Body Composition 1'!Z52,"AAAAAH1Vz/I=")</f>
        <v>#VALUE!</v>
      </c>
      <c r="IJ3" t="e">
        <f>AND('Body Composition 1'!AA52,"AAAAAH1Vz/M=")</f>
        <v>#VALUE!</v>
      </c>
      <c r="IK3">
        <f>IF('Body Composition 1'!53:53,"AAAAAH1Vz/Q=",0)</f>
        <v>0</v>
      </c>
      <c r="IL3" t="e">
        <f>AND('Body Composition 1'!A53,"AAAAAH1Vz/U=")</f>
        <v>#VALUE!</v>
      </c>
      <c r="IM3" t="e">
        <f>AND('Body Composition 1'!B53,"AAAAAH1Vz/Y=")</f>
        <v>#VALUE!</v>
      </c>
      <c r="IN3" t="e">
        <f>AND('Body Composition 1'!C53,"AAAAAH1Vz/c=")</f>
        <v>#VALUE!</v>
      </c>
      <c r="IO3" t="e">
        <f>AND('Body Composition 1'!D53,"AAAAAH1Vz/g=")</f>
        <v>#VALUE!</v>
      </c>
      <c r="IP3" t="e">
        <f>AND('Body Composition 1'!E53,"AAAAAH1Vz/k=")</f>
        <v>#VALUE!</v>
      </c>
      <c r="IQ3" t="e">
        <f>AND('Body Composition 1'!F53,"AAAAAH1Vz/o=")</f>
        <v>#VALUE!</v>
      </c>
      <c r="IR3" t="e">
        <f>AND('Body Composition 1'!G53,"AAAAAH1Vz/s=")</f>
        <v>#VALUE!</v>
      </c>
      <c r="IS3" t="e">
        <f>AND('Body Composition 1'!H53,"AAAAAH1Vz/w=")</f>
        <v>#VALUE!</v>
      </c>
      <c r="IT3" t="e">
        <f>AND('Body Composition 1'!I53,"AAAAAH1Vz/0=")</f>
        <v>#VALUE!</v>
      </c>
      <c r="IU3" t="e">
        <f>AND('Body Composition 1'!J53,"AAAAAH1Vz/4=")</f>
        <v>#VALUE!</v>
      </c>
      <c r="IV3" t="e">
        <f>AND('Body Composition 1'!K53,"AAAAAH1Vz/8=")</f>
        <v>#VALUE!</v>
      </c>
    </row>
    <row r="4" spans="1:256" x14ac:dyDescent="0.2">
      <c r="A4" t="e">
        <f>AND('Body Composition 1'!L53,"AAAAAHl3eAA=")</f>
        <v>#VALUE!</v>
      </c>
      <c r="B4" t="e">
        <f>AND('Body Composition 1'!M53,"AAAAAHl3eAE=")</f>
        <v>#VALUE!</v>
      </c>
      <c r="C4" t="e">
        <f>AND('Body Composition 1'!N53,"AAAAAHl3eAI=")</f>
        <v>#VALUE!</v>
      </c>
      <c r="D4" t="e">
        <f>AND('Body Composition 1'!O53,"AAAAAHl3eAM=")</f>
        <v>#VALUE!</v>
      </c>
      <c r="E4" t="e">
        <f>AND('Body Composition 1'!P53,"AAAAAHl3eAQ=")</f>
        <v>#VALUE!</v>
      </c>
      <c r="F4" t="e">
        <f>AND('Body Composition 1'!Q53,"AAAAAHl3eAU=")</f>
        <v>#VALUE!</v>
      </c>
      <c r="G4" t="e">
        <f>AND('Body Composition 1'!R53,"AAAAAHl3eAY=")</f>
        <v>#VALUE!</v>
      </c>
      <c r="H4" t="e">
        <f>AND('Body Composition 1'!S53,"AAAAAHl3eAc=")</f>
        <v>#VALUE!</v>
      </c>
      <c r="I4" t="e">
        <f>AND('Body Composition 1'!T53,"AAAAAHl3eAg=")</f>
        <v>#VALUE!</v>
      </c>
      <c r="J4" t="e">
        <f>AND('Body Composition 1'!U53,"AAAAAHl3eAk=")</f>
        <v>#VALUE!</v>
      </c>
      <c r="K4" t="e">
        <f>AND('Body Composition 1'!V53,"AAAAAHl3eAo=")</f>
        <v>#VALUE!</v>
      </c>
      <c r="L4" t="e">
        <f>AND('Body Composition 1'!W53,"AAAAAHl3eAs=")</f>
        <v>#VALUE!</v>
      </c>
      <c r="M4" t="e">
        <f>AND('Body Composition 1'!X53,"AAAAAHl3eAw=")</f>
        <v>#VALUE!</v>
      </c>
      <c r="N4" t="e">
        <f>AND('Body Composition 1'!Y53,"AAAAAHl3eA0=")</f>
        <v>#VALUE!</v>
      </c>
      <c r="O4" t="e">
        <f>AND('Body Composition 1'!Z53,"AAAAAHl3eA4=")</f>
        <v>#VALUE!</v>
      </c>
      <c r="P4" t="e">
        <f>AND('Body Composition 1'!AA53,"AAAAAHl3eA8=")</f>
        <v>#VALUE!</v>
      </c>
      <c r="Q4">
        <f>IF('Body Composition 1'!54:54,"AAAAAHl3eBA=",0)</f>
        <v>0</v>
      </c>
      <c r="R4" t="e">
        <f>AND('Body Composition 1'!A54,"AAAAAHl3eBE=")</f>
        <v>#VALUE!</v>
      </c>
      <c r="S4" t="e">
        <f>AND('Body Composition 1'!B54,"AAAAAHl3eBI=")</f>
        <v>#VALUE!</v>
      </c>
      <c r="T4" t="e">
        <f>AND('Body Composition 1'!C54,"AAAAAHl3eBM=")</f>
        <v>#VALUE!</v>
      </c>
      <c r="U4" t="e">
        <f>AND('Body Composition 1'!D54,"AAAAAHl3eBQ=")</f>
        <v>#VALUE!</v>
      </c>
      <c r="V4" t="e">
        <f>AND('Body Composition 1'!E54,"AAAAAHl3eBU=")</f>
        <v>#VALUE!</v>
      </c>
      <c r="W4" t="e">
        <f>AND('Body Composition 1'!F54,"AAAAAHl3eBY=")</f>
        <v>#VALUE!</v>
      </c>
      <c r="X4" t="e">
        <f>AND('Body Composition 1'!G54,"AAAAAHl3eBc=")</f>
        <v>#VALUE!</v>
      </c>
      <c r="Y4" t="e">
        <f>AND('Body Composition 1'!H54,"AAAAAHl3eBg=")</f>
        <v>#VALUE!</v>
      </c>
      <c r="Z4" t="e">
        <f>AND('Body Composition 1'!I54,"AAAAAHl3eBk=")</f>
        <v>#VALUE!</v>
      </c>
      <c r="AA4" t="e">
        <f>AND('Body Composition 1'!J54,"AAAAAHl3eBo=")</f>
        <v>#VALUE!</v>
      </c>
      <c r="AB4" t="e">
        <f>AND('Body Composition 1'!K54,"AAAAAHl3eBs=")</f>
        <v>#VALUE!</v>
      </c>
      <c r="AC4" t="e">
        <f>AND('Body Composition 1'!L54,"AAAAAHl3eBw=")</f>
        <v>#VALUE!</v>
      </c>
      <c r="AD4" t="e">
        <f>AND('Body Composition 1'!M54,"AAAAAHl3eB0=")</f>
        <v>#VALUE!</v>
      </c>
      <c r="AE4" t="e">
        <f>AND('Body Composition 1'!N54,"AAAAAHl3eB4=")</f>
        <v>#VALUE!</v>
      </c>
      <c r="AF4" t="e">
        <f>AND('Body Composition 1'!O54,"AAAAAHl3eB8=")</f>
        <v>#VALUE!</v>
      </c>
      <c r="AG4" t="e">
        <f>AND('Body Composition 1'!P54,"AAAAAHl3eCA=")</f>
        <v>#VALUE!</v>
      </c>
      <c r="AH4" t="e">
        <f>AND('Body Composition 1'!Q54,"AAAAAHl3eCE=")</f>
        <v>#VALUE!</v>
      </c>
      <c r="AI4" t="e">
        <f>AND('Body Composition 1'!R54,"AAAAAHl3eCI=")</f>
        <v>#VALUE!</v>
      </c>
      <c r="AJ4" t="e">
        <f>AND('Body Composition 1'!S54,"AAAAAHl3eCM=")</f>
        <v>#VALUE!</v>
      </c>
      <c r="AK4" t="e">
        <f>AND('Body Composition 1'!T54,"AAAAAHl3eCQ=")</f>
        <v>#VALUE!</v>
      </c>
      <c r="AL4" t="e">
        <f>AND('Body Composition 1'!U54,"AAAAAHl3eCU=")</f>
        <v>#VALUE!</v>
      </c>
      <c r="AM4" t="e">
        <f>AND('Body Composition 1'!V54,"AAAAAHl3eCY=")</f>
        <v>#VALUE!</v>
      </c>
      <c r="AN4" t="e">
        <f>AND('Body Composition 1'!W54,"AAAAAHl3eCc=")</f>
        <v>#VALUE!</v>
      </c>
      <c r="AO4" t="e">
        <f>AND('Body Composition 1'!X54,"AAAAAHl3eCg=")</f>
        <v>#VALUE!</v>
      </c>
      <c r="AP4" t="e">
        <f>AND('Body Composition 1'!Y54,"AAAAAHl3eCk=")</f>
        <v>#VALUE!</v>
      </c>
      <c r="AQ4" t="e">
        <f>AND('Body Composition 1'!Z54,"AAAAAHl3eCo=")</f>
        <v>#VALUE!</v>
      </c>
      <c r="AR4" t="e">
        <f>AND('Body Composition 1'!AA54,"AAAAAHl3eCs=")</f>
        <v>#VALUE!</v>
      </c>
      <c r="AS4">
        <f>IF('Body Composition 1'!55:55,"AAAAAHl3eCw=",0)</f>
        <v>0</v>
      </c>
      <c r="AT4" t="e">
        <f>AND('Body Composition 1'!A55,"AAAAAHl3eC0=")</f>
        <v>#VALUE!</v>
      </c>
      <c r="AU4" t="e">
        <f>AND('Body Composition 1'!B55,"AAAAAHl3eC4=")</f>
        <v>#VALUE!</v>
      </c>
      <c r="AV4" t="e">
        <f>AND('Body Composition 1'!C55,"AAAAAHl3eC8=")</f>
        <v>#VALUE!</v>
      </c>
      <c r="AW4" t="e">
        <f>AND('Body Composition 1'!D55,"AAAAAHl3eDA=")</f>
        <v>#VALUE!</v>
      </c>
      <c r="AX4" t="e">
        <f>AND('Body Composition 1'!E55,"AAAAAHl3eDE=")</f>
        <v>#VALUE!</v>
      </c>
      <c r="AY4" t="e">
        <f>AND('Body Composition 1'!F55,"AAAAAHl3eDI=")</f>
        <v>#VALUE!</v>
      </c>
      <c r="AZ4" t="e">
        <f>AND('Body Composition 1'!G55,"AAAAAHl3eDM=")</f>
        <v>#VALUE!</v>
      </c>
      <c r="BA4" t="e">
        <f>AND('Body Composition 1'!H55,"AAAAAHl3eDQ=")</f>
        <v>#VALUE!</v>
      </c>
      <c r="BB4" t="e">
        <f>AND('Body Composition 1'!I55,"AAAAAHl3eDU=")</f>
        <v>#VALUE!</v>
      </c>
      <c r="BC4" t="e">
        <f>AND('Body Composition 1'!J55,"AAAAAHl3eDY=")</f>
        <v>#VALUE!</v>
      </c>
      <c r="BD4" t="e">
        <f>AND('Body Composition 1'!K55,"AAAAAHl3eDc=")</f>
        <v>#VALUE!</v>
      </c>
      <c r="BE4" t="e">
        <f>AND('Body Composition 1'!L55,"AAAAAHl3eDg=")</f>
        <v>#VALUE!</v>
      </c>
      <c r="BF4" t="e">
        <f>AND('Body Composition 1'!M55,"AAAAAHl3eDk=")</f>
        <v>#VALUE!</v>
      </c>
      <c r="BG4" t="e">
        <f>AND('Body Composition 1'!N55,"AAAAAHl3eDo=")</f>
        <v>#VALUE!</v>
      </c>
      <c r="BH4" t="e">
        <f>AND('Body Composition 1'!O55,"AAAAAHl3eDs=")</f>
        <v>#VALUE!</v>
      </c>
      <c r="BI4" t="e">
        <f>AND('Body Composition 1'!P55,"AAAAAHl3eDw=")</f>
        <v>#VALUE!</v>
      </c>
      <c r="BJ4" t="e">
        <f>AND('Body Composition 1'!Q55,"AAAAAHl3eD0=")</f>
        <v>#VALUE!</v>
      </c>
      <c r="BK4" t="e">
        <f>AND('Body Composition 1'!R55,"AAAAAHl3eD4=")</f>
        <v>#VALUE!</v>
      </c>
      <c r="BL4" t="e">
        <f>AND('Body Composition 1'!S55,"AAAAAHl3eD8=")</f>
        <v>#VALUE!</v>
      </c>
      <c r="BM4" t="e">
        <f>AND('Body Composition 1'!T55,"AAAAAHl3eEA=")</f>
        <v>#VALUE!</v>
      </c>
      <c r="BN4" t="e">
        <f>AND('Body Composition 1'!U55,"AAAAAHl3eEE=")</f>
        <v>#VALUE!</v>
      </c>
      <c r="BO4" t="e">
        <f>AND('Body Composition 1'!V55,"AAAAAHl3eEI=")</f>
        <v>#VALUE!</v>
      </c>
      <c r="BP4" t="e">
        <f>AND('Body Composition 1'!W55,"AAAAAHl3eEM=")</f>
        <v>#VALUE!</v>
      </c>
      <c r="BQ4" t="e">
        <f>AND('Body Composition 1'!X55,"AAAAAHl3eEQ=")</f>
        <v>#VALUE!</v>
      </c>
      <c r="BR4" t="e">
        <f>AND('Body Composition 1'!Y55,"AAAAAHl3eEU=")</f>
        <v>#VALUE!</v>
      </c>
      <c r="BS4" t="e">
        <f>AND('Body Composition 1'!Z55,"AAAAAHl3eEY=")</f>
        <v>#VALUE!</v>
      </c>
      <c r="BT4" t="e">
        <f>AND('Body Composition 1'!AA55,"AAAAAHl3eEc=")</f>
        <v>#VALUE!</v>
      </c>
      <c r="BU4">
        <f>IF('Body Composition 1'!56:56,"AAAAAHl3eEg=",0)</f>
        <v>0</v>
      </c>
      <c r="BV4" t="e">
        <f>AND('Body Composition 1'!A56,"AAAAAHl3eEk=")</f>
        <v>#VALUE!</v>
      </c>
      <c r="BW4" t="e">
        <f>AND('Body Composition 1'!B56,"AAAAAHl3eEo=")</f>
        <v>#VALUE!</v>
      </c>
      <c r="BX4" t="e">
        <f>AND('Body Composition 1'!C56,"AAAAAHl3eEs=")</f>
        <v>#VALUE!</v>
      </c>
      <c r="BY4" t="e">
        <f>AND('Body Composition 1'!D56,"AAAAAHl3eEw=")</f>
        <v>#VALUE!</v>
      </c>
      <c r="BZ4" t="e">
        <f>AND('Body Composition 1'!E56,"AAAAAHl3eE0=")</f>
        <v>#VALUE!</v>
      </c>
      <c r="CA4" t="e">
        <f>AND('Body Composition 1'!F56,"AAAAAHl3eE4=")</f>
        <v>#VALUE!</v>
      </c>
      <c r="CB4" t="e">
        <f>AND('Body Composition 1'!G56,"AAAAAHl3eE8=")</f>
        <v>#VALUE!</v>
      </c>
      <c r="CC4" t="e">
        <f>AND('Body Composition 1'!H56,"AAAAAHl3eFA=")</f>
        <v>#VALUE!</v>
      </c>
      <c r="CD4" t="e">
        <f>AND('Body Composition 1'!I56,"AAAAAHl3eFE=")</f>
        <v>#VALUE!</v>
      </c>
      <c r="CE4" t="e">
        <f>AND('Body Composition 1'!J56,"AAAAAHl3eFI=")</f>
        <v>#VALUE!</v>
      </c>
      <c r="CF4" t="e">
        <f>AND('Body Composition 1'!K56,"AAAAAHl3eFM=")</f>
        <v>#VALUE!</v>
      </c>
      <c r="CG4" t="e">
        <f>AND('Body Composition 1'!L56,"AAAAAHl3eFQ=")</f>
        <v>#VALUE!</v>
      </c>
      <c r="CH4" t="e">
        <f>AND('Body Composition 1'!M56,"AAAAAHl3eFU=")</f>
        <v>#VALUE!</v>
      </c>
      <c r="CI4" t="e">
        <f>AND('Body Composition 1'!N56,"AAAAAHl3eFY=")</f>
        <v>#VALUE!</v>
      </c>
      <c r="CJ4" t="e">
        <f>AND('Body Composition 1'!O56,"AAAAAHl3eFc=")</f>
        <v>#VALUE!</v>
      </c>
      <c r="CK4" t="e">
        <f>AND('Body Composition 1'!P56,"AAAAAHl3eFg=")</f>
        <v>#VALUE!</v>
      </c>
      <c r="CL4" t="e">
        <f>AND('Body Composition 1'!Q56,"AAAAAHl3eFk=")</f>
        <v>#VALUE!</v>
      </c>
      <c r="CM4" t="e">
        <f>AND('Body Composition 1'!R56,"AAAAAHl3eFo=")</f>
        <v>#VALUE!</v>
      </c>
      <c r="CN4" t="e">
        <f>AND('Body Composition 1'!S56,"AAAAAHl3eFs=")</f>
        <v>#VALUE!</v>
      </c>
      <c r="CO4" t="e">
        <f>AND('Body Composition 1'!T56,"AAAAAHl3eFw=")</f>
        <v>#VALUE!</v>
      </c>
      <c r="CP4" t="e">
        <f>AND('Body Composition 1'!U56,"AAAAAHl3eF0=")</f>
        <v>#VALUE!</v>
      </c>
      <c r="CQ4" t="e">
        <f>AND('Body Composition 1'!V56,"AAAAAHl3eF4=")</f>
        <v>#VALUE!</v>
      </c>
      <c r="CR4" t="e">
        <f>AND('Body Composition 1'!W56,"AAAAAHl3eF8=")</f>
        <v>#VALUE!</v>
      </c>
      <c r="CS4" t="e">
        <f>AND('Body Composition 1'!X56,"AAAAAHl3eGA=")</f>
        <v>#VALUE!</v>
      </c>
      <c r="CT4" t="e">
        <f>AND('Body Composition 1'!Y56,"AAAAAHl3eGE=")</f>
        <v>#VALUE!</v>
      </c>
      <c r="CU4" t="e">
        <f>AND('Body Composition 1'!Z56,"AAAAAHl3eGI=")</f>
        <v>#VALUE!</v>
      </c>
      <c r="CV4" t="e">
        <f>AND('Body Composition 1'!AA56,"AAAAAHl3eGM=")</f>
        <v>#VALUE!</v>
      </c>
      <c r="CW4">
        <f>IF('Body Composition 1'!57:57,"AAAAAHl3eGQ=",0)</f>
        <v>0</v>
      </c>
      <c r="CX4" t="e">
        <f>AND('Body Composition 1'!A57,"AAAAAHl3eGU=")</f>
        <v>#VALUE!</v>
      </c>
      <c r="CY4" t="e">
        <f>AND('Body Composition 1'!B57,"AAAAAHl3eGY=")</f>
        <v>#VALUE!</v>
      </c>
      <c r="CZ4" t="e">
        <f>AND('Body Composition 1'!C57,"AAAAAHl3eGc=")</f>
        <v>#VALUE!</v>
      </c>
      <c r="DA4" t="e">
        <f>AND('Body Composition 1'!D57,"AAAAAHl3eGg=")</f>
        <v>#VALUE!</v>
      </c>
      <c r="DB4" t="e">
        <f>AND('Body Composition 1'!E57,"AAAAAHl3eGk=")</f>
        <v>#VALUE!</v>
      </c>
      <c r="DC4" t="e">
        <f>AND('Body Composition 1'!F57,"AAAAAHl3eGo=")</f>
        <v>#VALUE!</v>
      </c>
      <c r="DD4" t="e">
        <f>AND('Body Composition 1'!G57,"AAAAAHl3eGs=")</f>
        <v>#VALUE!</v>
      </c>
      <c r="DE4" t="e">
        <f>AND('Body Composition 1'!H57,"AAAAAHl3eGw=")</f>
        <v>#VALUE!</v>
      </c>
      <c r="DF4" t="e">
        <f>AND('Body Composition 1'!I57,"AAAAAHl3eG0=")</f>
        <v>#VALUE!</v>
      </c>
      <c r="DG4" t="e">
        <f>AND('Body Composition 1'!J57,"AAAAAHl3eG4=")</f>
        <v>#VALUE!</v>
      </c>
      <c r="DH4" t="e">
        <f>AND('Body Composition 1'!K57,"AAAAAHl3eG8=")</f>
        <v>#VALUE!</v>
      </c>
      <c r="DI4" t="e">
        <f>AND('Body Composition 1'!L57,"AAAAAHl3eHA=")</f>
        <v>#VALUE!</v>
      </c>
      <c r="DJ4" t="e">
        <f>AND('Body Composition 1'!M57,"AAAAAHl3eHE=")</f>
        <v>#VALUE!</v>
      </c>
      <c r="DK4" t="e">
        <f>AND('Body Composition 1'!N57,"AAAAAHl3eHI=")</f>
        <v>#VALUE!</v>
      </c>
      <c r="DL4" t="e">
        <f>AND('Body Composition 1'!O57,"AAAAAHl3eHM=")</f>
        <v>#VALUE!</v>
      </c>
      <c r="DM4" t="e">
        <f>AND('Body Composition 1'!P57,"AAAAAHl3eHQ=")</f>
        <v>#VALUE!</v>
      </c>
      <c r="DN4" t="e">
        <f>AND('Body Composition 1'!Q57,"AAAAAHl3eHU=")</f>
        <v>#VALUE!</v>
      </c>
      <c r="DO4" t="e">
        <f>AND('Body Composition 1'!R57,"AAAAAHl3eHY=")</f>
        <v>#VALUE!</v>
      </c>
      <c r="DP4" t="e">
        <f>AND('Body Composition 1'!S57,"AAAAAHl3eHc=")</f>
        <v>#VALUE!</v>
      </c>
      <c r="DQ4" t="e">
        <f>AND('Body Composition 1'!T57,"AAAAAHl3eHg=")</f>
        <v>#VALUE!</v>
      </c>
      <c r="DR4" t="e">
        <f>AND('Body Composition 1'!U57,"AAAAAHl3eHk=")</f>
        <v>#VALUE!</v>
      </c>
      <c r="DS4" t="e">
        <f>AND('Body Composition 1'!V57,"AAAAAHl3eHo=")</f>
        <v>#VALUE!</v>
      </c>
      <c r="DT4" t="e">
        <f>AND('Body Composition 1'!W57,"AAAAAHl3eHs=")</f>
        <v>#VALUE!</v>
      </c>
      <c r="DU4" t="e">
        <f>AND('Body Composition 1'!X57,"AAAAAHl3eHw=")</f>
        <v>#VALUE!</v>
      </c>
      <c r="DV4" t="e">
        <f>AND('Body Composition 1'!Y57,"AAAAAHl3eH0=")</f>
        <v>#VALUE!</v>
      </c>
      <c r="DW4" t="e">
        <f>AND('Body Composition 1'!Z57,"AAAAAHl3eH4=")</f>
        <v>#VALUE!</v>
      </c>
      <c r="DX4" t="e">
        <f>AND('Body Composition 1'!AA57,"AAAAAHl3eH8=")</f>
        <v>#VALUE!</v>
      </c>
      <c r="DY4">
        <f>IF('Body Composition 1'!58:58,"AAAAAHl3eIA=",0)</f>
        <v>0</v>
      </c>
      <c r="DZ4" t="e">
        <f>AND('Body Composition 1'!A58,"AAAAAHl3eIE=")</f>
        <v>#VALUE!</v>
      </c>
      <c r="EA4" t="e">
        <f>AND('Body Composition 1'!B58,"AAAAAHl3eII=")</f>
        <v>#VALUE!</v>
      </c>
      <c r="EB4" t="e">
        <f>AND('Body Composition 1'!C58,"AAAAAHl3eIM=")</f>
        <v>#VALUE!</v>
      </c>
      <c r="EC4" t="e">
        <f>AND('Body Composition 1'!D58,"AAAAAHl3eIQ=")</f>
        <v>#VALUE!</v>
      </c>
      <c r="ED4" t="e">
        <f>AND('Body Composition 1'!E58,"AAAAAHl3eIU=")</f>
        <v>#VALUE!</v>
      </c>
      <c r="EE4" t="e">
        <f>AND('Body Composition 1'!F58,"AAAAAHl3eIY=")</f>
        <v>#VALUE!</v>
      </c>
      <c r="EF4" t="e">
        <f>AND('Body Composition 1'!G58,"AAAAAHl3eIc=")</f>
        <v>#VALUE!</v>
      </c>
      <c r="EG4" t="e">
        <f>AND('Body Composition 1'!H58,"AAAAAHl3eIg=")</f>
        <v>#VALUE!</v>
      </c>
      <c r="EH4" t="e">
        <f>AND('Body Composition 1'!I58,"AAAAAHl3eIk=")</f>
        <v>#VALUE!</v>
      </c>
      <c r="EI4" t="e">
        <f>AND('Body Composition 1'!J58,"AAAAAHl3eIo=")</f>
        <v>#VALUE!</v>
      </c>
      <c r="EJ4" t="e">
        <f>AND('Body Composition 1'!K58,"AAAAAHl3eIs=")</f>
        <v>#VALUE!</v>
      </c>
      <c r="EK4" t="e">
        <f>AND('Body Composition 1'!L58,"AAAAAHl3eIw=")</f>
        <v>#VALUE!</v>
      </c>
      <c r="EL4" t="e">
        <f>AND('Body Composition 1'!M58,"AAAAAHl3eI0=")</f>
        <v>#VALUE!</v>
      </c>
      <c r="EM4" t="e">
        <f>AND('Body Composition 1'!N58,"AAAAAHl3eI4=")</f>
        <v>#VALUE!</v>
      </c>
      <c r="EN4" t="e">
        <f>AND('Body Composition 1'!O58,"AAAAAHl3eI8=")</f>
        <v>#VALUE!</v>
      </c>
      <c r="EO4" t="e">
        <f>AND('Body Composition 1'!P58,"AAAAAHl3eJA=")</f>
        <v>#VALUE!</v>
      </c>
      <c r="EP4" t="e">
        <f>AND('Body Composition 1'!Q58,"AAAAAHl3eJE=")</f>
        <v>#VALUE!</v>
      </c>
      <c r="EQ4" t="e">
        <f>AND('Body Composition 1'!R58,"AAAAAHl3eJI=")</f>
        <v>#VALUE!</v>
      </c>
      <c r="ER4" t="e">
        <f>AND('Body Composition 1'!S58,"AAAAAHl3eJM=")</f>
        <v>#VALUE!</v>
      </c>
      <c r="ES4" t="e">
        <f>AND('Body Composition 1'!T58,"AAAAAHl3eJQ=")</f>
        <v>#VALUE!</v>
      </c>
      <c r="ET4" t="e">
        <f>AND('Body Composition 1'!U58,"AAAAAHl3eJU=")</f>
        <v>#VALUE!</v>
      </c>
      <c r="EU4" t="e">
        <f>AND('Body Composition 1'!V58,"AAAAAHl3eJY=")</f>
        <v>#VALUE!</v>
      </c>
      <c r="EV4" t="e">
        <f>AND('Body Composition 1'!W58,"AAAAAHl3eJc=")</f>
        <v>#VALUE!</v>
      </c>
      <c r="EW4" t="e">
        <f>AND('Body Composition 1'!X58,"AAAAAHl3eJg=")</f>
        <v>#VALUE!</v>
      </c>
      <c r="EX4" t="e">
        <f>AND('Body Composition 1'!Y58,"AAAAAHl3eJk=")</f>
        <v>#VALUE!</v>
      </c>
      <c r="EY4" t="e">
        <f>AND('Body Composition 1'!Z58,"AAAAAHl3eJo=")</f>
        <v>#VALUE!</v>
      </c>
      <c r="EZ4" t="e">
        <f>AND('Body Composition 1'!AA58,"AAAAAHl3eJs=")</f>
        <v>#VALUE!</v>
      </c>
      <c r="FA4">
        <f>IF('Body Composition 1'!59:59,"AAAAAHl3eJw=",0)</f>
        <v>0</v>
      </c>
      <c r="FB4" t="e">
        <f>AND('Body Composition 1'!A59,"AAAAAHl3eJ0=")</f>
        <v>#VALUE!</v>
      </c>
      <c r="FC4" t="e">
        <f>AND('Body Composition 1'!B59,"AAAAAHl3eJ4=")</f>
        <v>#VALUE!</v>
      </c>
      <c r="FD4" t="e">
        <f>AND('Body Composition 1'!C59,"AAAAAHl3eJ8=")</f>
        <v>#VALUE!</v>
      </c>
      <c r="FE4" t="e">
        <f>AND('Body Composition 1'!D59,"AAAAAHl3eKA=")</f>
        <v>#VALUE!</v>
      </c>
      <c r="FF4" t="e">
        <f>AND('Body Composition 1'!E59,"AAAAAHl3eKE=")</f>
        <v>#VALUE!</v>
      </c>
      <c r="FG4" t="e">
        <f>AND('Body Composition 1'!F59,"AAAAAHl3eKI=")</f>
        <v>#VALUE!</v>
      </c>
      <c r="FH4" t="e">
        <f>AND('Body Composition 1'!G59,"AAAAAHl3eKM=")</f>
        <v>#VALUE!</v>
      </c>
      <c r="FI4" t="e">
        <f>AND('Body Composition 1'!H59,"AAAAAHl3eKQ=")</f>
        <v>#VALUE!</v>
      </c>
      <c r="FJ4" t="e">
        <f>AND('Body Composition 1'!I59,"AAAAAHl3eKU=")</f>
        <v>#VALUE!</v>
      </c>
      <c r="FK4" t="e">
        <f>AND('Body Composition 1'!J59,"AAAAAHl3eKY=")</f>
        <v>#VALUE!</v>
      </c>
      <c r="FL4" t="e">
        <f>AND('Body Composition 1'!K59,"AAAAAHl3eKc=")</f>
        <v>#VALUE!</v>
      </c>
      <c r="FM4" t="e">
        <f>AND('Body Composition 1'!L59,"AAAAAHl3eKg=")</f>
        <v>#VALUE!</v>
      </c>
      <c r="FN4" t="e">
        <f>AND('Body Composition 1'!M59,"AAAAAHl3eKk=")</f>
        <v>#VALUE!</v>
      </c>
      <c r="FO4" t="e">
        <f>AND('Body Composition 1'!N59,"AAAAAHl3eKo=")</f>
        <v>#VALUE!</v>
      </c>
      <c r="FP4" t="e">
        <f>AND('Body Composition 1'!O59,"AAAAAHl3eKs=")</f>
        <v>#VALUE!</v>
      </c>
      <c r="FQ4" t="e">
        <f>AND('Body Composition 1'!P59,"AAAAAHl3eKw=")</f>
        <v>#VALUE!</v>
      </c>
      <c r="FR4" t="e">
        <f>AND('Body Composition 1'!Q59,"AAAAAHl3eK0=")</f>
        <v>#VALUE!</v>
      </c>
      <c r="FS4" t="e">
        <f>AND('Body Composition 1'!R59,"AAAAAHl3eK4=")</f>
        <v>#VALUE!</v>
      </c>
      <c r="FT4" t="e">
        <f>AND('Body Composition 1'!S59,"AAAAAHl3eK8=")</f>
        <v>#VALUE!</v>
      </c>
      <c r="FU4" t="e">
        <f>AND('Body Composition 1'!T59,"AAAAAHl3eLA=")</f>
        <v>#VALUE!</v>
      </c>
      <c r="FV4" t="e">
        <f>AND('Body Composition 1'!U59,"AAAAAHl3eLE=")</f>
        <v>#VALUE!</v>
      </c>
      <c r="FW4" t="e">
        <f>AND('Body Composition 1'!V59,"AAAAAHl3eLI=")</f>
        <v>#VALUE!</v>
      </c>
      <c r="FX4" t="e">
        <f>AND('Body Composition 1'!W59,"AAAAAHl3eLM=")</f>
        <v>#VALUE!</v>
      </c>
      <c r="FY4" t="e">
        <f>AND('Body Composition 1'!X59,"AAAAAHl3eLQ=")</f>
        <v>#VALUE!</v>
      </c>
      <c r="FZ4" t="e">
        <f>AND('Body Composition 1'!Y59,"AAAAAHl3eLU=")</f>
        <v>#VALUE!</v>
      </c>
      <c r="GA4" t="e">
        <f>AND('Body Composition 1'!Z59,"AAAAAHl3eLY=")</f>
        <v>#VALUE!</v>
      </c>
      <c r="GB4" t="e">
        <f>AND('Body Composition 1'!AA59,"AAAAAHl3eLc=")</f>
        <v>#VALUE!</v>
      </c>
      <c r="GC4">
        <f>IF('Body Composition 1'!60:60,"AAAAAHl3eLg=",0)</f>
        <v>0</v>
      </c>
      <c r="GD4" t="e">
        <f>AND('Body Composition 1'!A60,"AAAAAHl3eLk=")</f>
        <v>#VALUE!</v>
      </c>
      <c r="GE4" t="e">
        <f>AND('Body Composition 1'!B60,"AAAAAHl3eLo=")</f>
        <v>#VALUE!</v>
      </c>
      <c r="GF4" t="e">
        <f>AND('Body Composition 1'!C60,"AAAAAHl3eLs=")</f>
        <v>#VALUE!</v>
      </c>
      <c r="GG4" t="e">
        <f>AND('Body Composition 1'!D60,"AAAAAHl3eLw=")</f>
        <v>#VALUE!</v>
      </c>
      <c r="GH4" t="e">
        <f>AND('Body Composition 1'!E60,"AAAAAHl3eL0=")</f>
        <v>#VALUE!</v>
      </c>
      <c r="GI4" t="e">
        <f>AND('Body Composition 1'!F60,"AAAAAHl3eL4=")</f>
        <v>#VALUE!</v>
      </c>
      <c r="GJ4" t="e">
        <f>AND('Body Composition 1'!G60,"AAAAAHl3eL8=")</f>
        <v>#VALUE!</v>
      </c>
      <c r="GK4" t="e">
        <f>AND('Body Composition 1'!H60,"AAAAAHl3eMA=")</f>
        <v>#VALUE!</v>
      </c>
      <c r="GL4" t="e">
        <f>AND('Body Composition 1'!I60,"AAAAAHl3eME=")</f>
        <v>#VALUE!</v>
      </c>
      <c r="GM4" t="e">
        <f>AND('Body Composition 1'!J60,"AAAAAHl3eMI=")</f>
        <v>#VALUE!</v>
      </c>
      <c r="GN4" t="e">
        <f>AND('Body Composition 1'!K60,"AAAAAHl3eMM=")</f>
        <v>#VALUE!</v>
      </c>
      <c r="GO4" t="e">
        <f>AND('Body Composition 1'!L60,"AAAAAHl3eMQ=")</f>
        <v>#VALUE!</v>
      </c>
      <c r="GP4" t="e">
        <f>AND('Body Composition 1'!M60,"AAAAAHl3eMU=")</f>
        <v>#VALUE!</v>
      </c>
      <c r="GQ4" t="e">
        <f>AND('Body Composition 1'!N60,"AAAAAHl3eMY=")</f>
        <v>#VALUE!</v>
      </c>
      <c r="GR4" t="e">
        <f>AND('Body Composition 1'!O60,"AAAAAHl3eMc=")</f>
        <v>#VALUE!</v>
      </c>
      <c r="GS4" t="e">
        <f>AND('Body Composition 1'!P60,"AAAAAHl3eMg=")</f>
        <v>#VALUE!</v>
      </c>
      <c r="GT4" t="e">
        <f>AND('Body Composition 1'!Q60,"AAAAAHl3eMk=")</f>
        <v>#VALUE!</v>
      </c>
      <c r="GU4" t="e">
        <f>AND('Body Composition 1'!R60,"AAAAAHl3eMo=")</f>
        <v>#VALUE!</v>
      </c>
      <c r="GV4" t="e">
        <f>AND('Body Composition 1'!S60,"AAAAAHl3eMs=")</f>
        <v>#VALUE!</v>
      </c>
      <c r="GW4" t="e">
        <f>AND('Body Composition 1'!T60,"AAAAAHl3eMw=")</f>
        <v>#VALUE!</v>
      </c>
      <c r="GX4" t="e">
        <f>AND('Body Composition 1'!U60,"AAAAAHl3eM0=")</f>
        <v>#VALUE!</v>
      </c>
      <c r="GY4" t="e">
        <f>AND('Body Composition 1'!V60,"AAAAAHl3eM4=")</f>
        <v>#VALUE!</v>
      </c>
      <c r="GZ4" t="e">
        <f>AND('Body Composition 1'!W60,"AAAAAHl3eM8=")</f>
        <v>#VALUE!</v>
      </c>
      <c r="HA4" t="e">
        <f>AND('Body Composition 1'!X60,"AAAAAHl3eNA=")</f>
        <v>#VALUE!</v>
      </c>
      <c r="HB4" t="e">
        <f>AND('Body Composition 1'!Y60,"AAAAAHl3eNE=")</f>
        <v>#VALUE!</v>
      </c>
      <c r="HC4" t="e">
        <f>AND('Body Composition 1'!Z60,"AAAAAHl3eNI=")</f>
        <v>#VALUE!</v>
      </c>
      <c r="HD4" t="e">
        <f>AND('Body Composition 1'!AA60,"AAAAAHl3eNM=")</f>
        <v>#VALUE!</v>
      </c>
      <c r="HE4">
        <f>IF('Body Composition 1'!61:61,"AAAAAHl3eNQ=",0)</f>
        <v>0</v>
      </c>
      <c r="HF4" t="e">
        <f>AND('Body Composition 1'!A61,"AAAAAHl3eNU=")</f>
        <v>#VALUE!</v>
      </c>
      <c r="HG4" t="e">
        <f>AND('Body Composition 1'!B61,"AAAAAHl3eNY=")</f>
        <v>#VALUE!</v>
      </c>
      <c r="HH4" t="e">
        <f>AND('Body Composition 1'!C61,"AAAAAHl3eNc=")</f>
        <v>#VALUE!</v>
      </c>
      <c r="HI4" t="e">
        <f>AND('Body Composition 1'!D61,"AAAAAHl3eNg=")</f>
        <v>#VALUE!</v>
      </c>
      <c r="HJ4" t="e">
        <f>AND('Body Composition 1'!E61,"AAAAAHl3eNk=")</f>
        <v>#VALUE!</v>
      </c>
      <c r="HK4" t="e">
        <f>AND('Body Composition 1'!F61,"AAAAAHl3eNo=")</f>
        <v>#VALUE!</v>
      </c>
      <c r="HL4" t="e">
        <f>AND('Body Composition 1'!G61,"AAAAAHl3eNs=")</f>
        <v>#VALUE!</v>
      </c>
      <c r="HM4" t="e">
        <f>AND('Body Composition 1'!H61,"AAAAAHl3eNw=")</f>
        <v>#VALUE!</v>
      </c>
      <c r="HN4" t="e">
        <f>AND('Body Composition 1'!I61,"AAAAAHl3eN0=")</f>
        <v>#VALUE!</v>
      </c>
      <c r="HO4" t="e">
        <f>AND('Body Composition 1'!J61,"AAAAAHl3eN4=")</f>
        <v>#VALUE!</v>
      </c>
      <c r="HP4" t="e">
        <f>AND('Body Composition 1'!K61,"AAAAAHl3eN8=")</f>
        <v>#VALUE!</v>
      </c>
      <c r="HQ4" t="e">
        <f>AND('Body Composition 1'!L61,"AAAAAHl3eOA=")</f>
        <v>#VALUE!</v>
      </c>
      <c r="HR4" t="e">
        <f>AND('Body Composition 1'!M61,"AAAAAHl3eOE=")</f>
        <v>#VALUE!</v>
      </c>
      <c r="HS4" t="e">
        <f>AND('Body Composition 1'!N61,"AAAAAHl3eOI=")</f>
        <v>#VALUE!</v>
      </c>
      <c r="HT4" t="e">
        <f>AND('Body Composition 1'!O61,"AAAAAHl3eOM=")</f>
        <v>#VALUE!</v>
      </c>
      <c r="HU4" t="e">
        <f>AND('Body Composition 1'!P61,"AAAAAHl3eOQ=")</f>
        <v>#VALUE!</v>
      </c>
      <c r="HV4" t="e">
        <f>AND('Body Composition 1'!Q61,"AAAAAHl3eOU=")</f>
        <v>#VALUE!</v>
      </c>
      <c r="HW4" t="e">
        <f>AND('Body Composition 1'!R61,"AAAAAHl3eOY=")</f>
        <v>#VALUE!</v>
      </c>
      <c r="HX4" t="e">
        <f>AND('Body Composition 1'!S61,"AAAAAHl3eOc=")</f>
        <v>#VALUE!</v>
      </c>
      <c r="HY4" t="e">
        <f>AND('Body Composition 1'!T61,"AAAAAHl3eOg=")</f>
        <v>#VALUE!</v>
      </c>
      <c r="HZ4" t="e">
        <f>AND('Body Composition 1'!U61,"AAAAAHl3eOk=")</f>
        <v>#VALUE!</v>
      </c>
      <c r="IA4" t="e">
        <f>AND('Body Composition 1'!V61,"AAAAAHl3eOo=")</f>
        <v>#VALUE!</v>
      </c>
      <c r="IB4" t="e">
        <f>AND('Body Composition 1'!W61,"AAAAAHl3eOs=")</f>
        <v>#VALUE!</v>
      </c>
      <c r="IC4" t="e">
        <f>AND('Body Composition 1'!X61,"AAAAAHl3eOw=")</f>
        <v>#VALUE!</v>
      </c>
      <c r="ID4" t="e">
        <f>AND('Body Composition 1'!Y61,"AAAAAHl3eO0=")</f>
        <v>#VALUE!</v>
      </c>
      <c r="IE4" t="e">
        <f>AND('Body Composition 1'!Z61,"AAAAAHl3eO4=")</f>
        <v>#VALUE!</v>
      </c>
      <c r="IF4" t="e">
        <f>AND('Body Composition 1'!AA61,"AAAAAHl3eO8=")</f>
        <v>#VALUE!</v>
      </c>
      <c r="IG4">
        <f>IF('Body Composition 1'!62:62,"AAAAAHl3ePA=",0)</f>
        <v>0</v>
      </c>
      <c r="IH4" t="e">
        <f>AND('Body Composition 1'!A62,"AAAAAHl3ePE=")</f>
        <v>#VALUE!</v>
      </c>
      <c r="II4" t="e">
        <f>AND('Body Composition 1'!B62,"AAAAAHl3ePI=")</f>
        <v>#VALUE!</v>
      </c>
      <c r="IJ4" t="e">
        <f>AND('Body Composition 1'!C62,"AAAAAHl3ePM=")</f>
        <v>#VALUE!</v>
      </c>
      <c r="IK4" t="e">
        <f>AND('Body Composition 1'!D62,"AAAAAHl3ePQ=")</f>
        <v>#VALUE!</v>
      </c>
      <c r="IL4" t="e">
        <f>AND('Body Composition 1'!E62,"AAAAAHl3ePU=")</f>
        <v>#VALUE!</v>
      </c>
      <c r="IM4" t="e">
        <f>AND('Body Composition 1'!F62,"AAAAAHl3ePY=")</f>
        <v>#VALUE!</v>
      </c>
      <c r="IN4" t="e">
        <f>AND('Body Composition 1'!G62,"AAAAAHl3ePc=")</f>
        <v>#VALUE!</v>
      </c>
      <c r="IO4" t="e">
        <f>AND('Body Composition 1'!H62,"AAAAAHl3ePg=")</f>
        <v>#VALUE!</v>
      </c>
      <c r="IP4" t="e">
        <f>AND('Body Composition 1'!I62,"AAAAAHl3ePk=")</f>
        <v>#VALUE!</v>
      </c>
      <c r="IQ4" t="e">
        <f>AND('Body Composition 1'!J62,"AAAAAHl3ePo=")</f>
        <v>#VALUE!</v>
      </c>
      <c r="IR4" t="e">
        <f>AND('Body Composition 1'!K62,"AAAAAHl3ePs=")</f>
        <v>#VALUE!</v>
      </c>
      <c r="IS4" t="e">
        <f>AND('Body Composition 1'!L62,"AAAAAHl3ePw=")</f>
        <v>#VALUE!</v>
      </c>
      <c r="IT4" t="e">
        <f>AND('Body Composition 1'!M62,"AAAAAHl3eP0=")</f>
        <v>#VALUE!</v>
      </c>
      <c r="IU4" t="e">
        <f>AND('Body Composition 1'!N62,"AAAAAHl3eP4=")</f>
        <v>#VALUE!</v>
      </c>
      <c r="IV4" t="e">
        <f>AND('Body Composition 1'!O62,"AAAAAHl3eP8=")</f>
        <v>#VALUE!</v>
      </c>
    </row>
    <row r="5" spans="1:256" x14ac:dyDescent="0.2">
      <c r="A5" t="e">
        <f>AND('Body Composition 1'!P62,"AAAAAG39nwA=")</f>
        <v>#VALUE!</v>
      </c>
      <c r="B5" t="e">
        <f>AND('Body Composition 1'!Q62,"AAAAAG39nwE=")</f>
        <v>#VALUE!</v>
      </c>
      <c r="C5" t="e">
        <f>AND('Body Composition 1'!R62,"AAAAAG39nwI=")</f>
        <v>#VALUE!</v>
      </c>
      <c r="D5" t="e">
        <f>AND('Body Composition 1'!S62,"AAAAAG39nwM=")</f>
        <v>#VALUE!</v>
      </c>
      <c r="E5" t="e">
        <f>AND('Body Composition 1'!T62,"AAAAAG39nwQ=")</f>
        <v>#VALUE!</v>
      </c>
      <c r="F5" t="e">
        <f>AND('Body Composition 1'!U62,"AAAAAG39nwU=")</f>
        <v>#VALUE!</v>
      </c>
      <c r="G5" t="e">
        <f>AND('Body Composition 1'!V62,"AAAAAG39nwY=")</f>
        <v>#VALUE!</v>
      </c>
      <c r="H5" t="e">
        <f>AND('Body Composition 1'!W62,"AAAAAG39nwc=")</f>
        <v>#VALUE!</v>
      </c>
      <c r="I5" t="e">
        <f>AND('Body Composition 1'!X62,"AAAAAG39nwg=")</f>
        <v>#VALUE!</v>
      </c>
      <c r="J5" t="e">
        <f>AND('Body Composition 1'!Y62,"AAAAAG39nwk=")</f>
        <v>#VALUE!</v>
      </c>
      <c r="K5" t="e">
        <f>AND('Body Composition 1'!Z62,"AAAAAG39nwo=")</f>
        <v>#VALUE!</v>
      </c>
      <c r="L5" t="e">
        <f>AND('Body Composition 1'!AA62,"AAAAAG39nws=")</f>
        <v>#VALUE!</v>
      </c>
      <c r="M5">
        <f>IF('Body Composition 1'!63:63,"AAAAAG39nww=",0)</f>
        <v>0</v>
      </c>
      <c r="N5" t="e">
        <f>AND('Body Composition 1'!A63,"AAAAAG39nw0=")</f>
        <v>#VALUE!</v>
      </c>
      <c r="O5" t="e">
        <f>AND('Body Composition 1'!B63,"AAAAAG39nw4=")</f>
        <v>#VALUE!</v>
      </c>
      <c r="P5" t="e">
        <f>AND('Body Composition 1'!C63,"AAAAAG39nw8=")</f>
        <v>#VALUE!</v>
      </c>
      <c r="Q5" t="e">
        <f>AND('Body Composition 1'!D63,"AAAAAG39nxA=")</f>
        <v>#VALUE!</v>
      </c>
      <c r="R5" t="e">
        <f>AND('Body Composition 1'!E63,"AAAAAG39nxE=")</f>
        <v>#VALUE!</v>
      </c>
      <c r="S5" t="e">
        <f>AND('Body Composition 1'!F63,"AAAAAG39nxI=")</f>
        <v>#VALUE!</v>
      </c>
      <c r="T5" t="e">
        <f>AND('Body Composition 1'!G63,"AAAAAG39nxM=")</f>
        <v>#VALUE!</v>
      </c>
      <c r="U5" t="e">
        <f>AND('Body Composition 1'!H63,"AAAAAG39nxQ=")</f>
        <v>#VALUE!</v>
      </c>
      <c r="V5" t="e">
        <f>AND('Body Composition 1'!I63,"AAAAAG39nxU=")</f>
        <v>#VALUE!</v>
      </c>
      <c r="W5" t="e">
        <f>AND('Body Composition 1'!J63,"AAAAAG39nxY=")</f>
        <v>#VALUE!</v>
      </c>
      <c r="X5" t="e">
        <f>AND('Body Composition 1'!K63,"AAAAAG39nxc=")</f>
        <v>#VALUE!</v>
      </c>
      <c r="Y5" t="e">
        <f>AND('Body Composition 1'!L63,"AAAAAG39nxg=")</f>
        <v>#VALUE!</v>
      </c>
      <c r="Z5" t="e">
        <f>AND('Body Composition 1'!M63,"AAAAAG39nxk=")</f>
        <v>#VALUE!</v>
      </c>
      <c r="AA5" t="e">
        <f>AND('Body Composition 1'!N63,"AAAAAG39nxo=")</f>
        <v>#VALUE!</v>
      </c>
      <c r="AB5" t="e">
        <f>AND('Body Composition 1'!O63,"AAAAAG39nxs=")</f>
        <v>#VALUE!</v>
      </c>
      <c r="AC5" t="e">
        <f>AND('Body Composition 1'!P63,"AAAAAG39nxw=")</f>
        <v>#VALUE!</v>
      </c>
      <c r="AD5" t="e">
        <f>AND('Body Composition 1'!Q63,"AAAAAG39nx0=")</f>
        <v>#VALUE!</v>
      </c>
      <c r="AE5" t="e">
        <f>AND('Body Composition 1'!R63,"AAAAAG39nx4=")</f>
        <v>#VALUE!</v>
      </c>
      <c r="AF5" t="e">
        <f>AND('Body Composition 1'!S63,"AAAAAG39nx8=")</f>
        <v>#VALUE!</v>
      </c>
      <c r="AG5" t="e">
        <f>AND('Body Composition 1'!T63,"AAAAAG39nyA=")</f>
        <v>#VALUE!</v>
      </c>
      <c r="AH5" t="e">
        <f>AND('Body Composition 1'!U63,"AAAAAG39nyE=")</f>
        <v>#VALUE!</v>
      </c>
      <c r="AI5" t="e">
        <f>AND('Body Composition 1'!V63,"AAAAAG39nyI=")</f>
        <v>#VALUE!</v>
      </c>
      <c r="AJ5" t="e">
        <f>AND('Body Composition 1'!W63,"AAAAAG39nyM=")</f>
        <v>#VALUE!</v>
      </c>
      <c r="AK5" t="e">
        <f>AND('Body Composition 1'!X63,"AAAAAG39nyQ=")</f>
        <v>#VALUE!</v>
      </c>
      <c r="AL5" t="e">
        <f>AND('Body Composition 1'!Y63,"AAAAAG39nyU=")</f>
        <v>#VALUE!</v>
      </c>
      <c r="AM5" t="e">
        <f>AND('Body Composition 1'!Z63,"AAAAAG39nyY=")</f>
        <v>#VALUE!</v>
      </c>
      <c r="AN5" t="e">
        <f>AND('Body Composition 1'!AA63,"AAAAAG39nyc=")</f>
        <v>#VALUE!</v>
      </c>
      <c r="AO5">
        <f>IF('Body Composition 1'!65:65,"AAAAAG39nyg=",0)</f>
        <v>0</v>
      </c>
      <c r="AP5" t="e">
        <f>AND('Body Composition 1'!A65,"AAAAAG39nyk=")</f>
        <v>#VALUE!</v>
      </c>
      <c r="AQ5" t="e">
        <f>AND('Body Composition 1'!B65,"AAAAAG39nyo=")</f>
        <v>#VALUE!</v>
      </c>
      <c r="AR5" t="e">
        <f>AND('Body Composition 1'!C65,"AAAAAG39nys=")</f>
        <v>#VALUE!</v>
      </c>
      <c r="AS5" t="e">
        <f>AND('Body Composition 1'!D65,"AAAAAG39nyw=")</f>
        <v>#VALUE!</v>
      </c>
      <c r="AT5" t="e">
        <f>AND('Body Composition 1'!E65,"AAAAAG39ny0=")</f>
        <v>#VALUE!</v>
      </c>
      <c r="AU5" t="e">
        <f>AND('Body Composition 1'!F65,"AAAAAG39ny4=")</f>
        <v>#VALUE!</v>
      </c>
      <c r="AV5" t="e">
        <f>AND('Body Composition 1'!G65,"AAAAAG39ny8=")</f>
        <v>#VALUE!</v>
      </c>
      <c r="AW5" t="e">
        <f>AND('Body Composition 1'!H65,"AAAAAG39nzA=")</f>
        <v>#VALUE!</v>
      </c>
      <c r="AX5" t="e">
        <f>AND('Body Composition 1'!I65,"AAAAAG39nzE=")</f>
        <v>#VALUE!</v>
      </c>
      <c r="AY5" t="e">
        <f>AND('Body Composition 1'!J65,"AAAAAG39nzI=")</f>
        <v>#VALUE!</v>
      </c>
      <c r="AZ5" t="e">
        <f>AND('Body Composition 1'!K65,"AAAAAG39nzM=")</f>
        <v>#VALUE!</v>
      </c>
      <c r="BA5" t="e">
        <f>AND('Body Composition 1'!L65,"AAAAAG39nzQ=")</f>
        <v>#VALUE!</v>
      </c>
      <c r="BB5" t="e">
        <f>AND('Body Composition 1'!M65,"AAAAAG39nzU=")</f>
        <v>#VALUE!</v>
      </c>
      <c r="BC5" t="e">
        <f>AND('Body Composition 1'!N65,"AAAAAG39nzY=")</f>
        <v>#VALUE!</v>
      </c>
      <c r="BD5" t="e">
        <f>AND('Body Composition 1'!O65,"AAAAAG39nzc=")</f>
        <v>#VALUE!</v>
      </c>
      <c r="BE5" t="e">
        <f>AND('Body Composition 1'!P65,"AAAAAG39nzg=")</f>
        <v>#VALUE!</v>
      </c>
      <c r="BF5" t="e">
        <f>AND('Body Composition 1'!Q65,"AAAAAG39nzk=")</f>
        <v>#VALUE!</v>
      </c>
      <c r="BG5" t="e">
        <f>AND('Body Composition 1'!R65,"AAAAAG39nzo=")</f>
        <v>#VALUE!</v>
      </c>
      <c r="BH5" t="e">
        <f>AND('Body Composition 1'!S65,"AAAAAG39nzs=")</f>
        <v>#VALUE!</v>
      </c>
      <c r="BI5" t="e">
        <f>AND('Body Composition 1'!T65,"AAAAAG39nzw=")</f>
        <v>#VALUE!</v>
      </c>
      <c r="BJ5" t="e">
        <f>AND('Body Composition 1'!U65,"AAAAAG39nz0=")</f>
        <v>#VALUE!</v>
      </c>
      <c r="BK5" t="e">
        <f>AND('Body Composition 1'!V65,"AAAAAG39nz4=")</f>
        <v>#VALUE!</v>
      </c>
      <c r="BL5" t="e">
        <f>AND('Body Composition 1'!W65,"AAAAAG39nz8=")</f>
        <v>#VALUE!</v>
      </c>
      <c r="BM5" t="e">
        <f>AND('Body Composition 1'!X65,"AAAAAG39n0A=")</f>
        <v>#VALUE!</v>
      </c>
      <c r="BN5" t="e">
        <f>AND('Body Composition 1'!Y65,"AAAAAG39n0E=")</f>
        <v>#VALUE!</v>
      </c>
      <c r="BO5" t="e">
        <f>AND('Body Composition 1'!Z65,"AAAAAG39n0I=")</f>
        <v>#VALUE!</v>
      </c>
      <c r="BP5" t="e">
        <f>AND('Body Composition 1'!AA65,"AAAAAG39n0M=")</f>
        <v>#VALUE!</v>
      </c>
      <c r="BQ5">
        <f>IF('Body Composition 1'!66:66,"AAAAAG39n0Q=",0)</f>
        <v>0</v>
      </c>
      <c r="BR5" t="e">
        <f>AND('Body Composition 1'!A66,"AAAAAG39n0U=")</f>
        <v>#VALUE!</v>
      </c>
      <c r="BS5" t="e">
        <f>AND('Body Composition 1'!B66,"AAAAAG39n0Y=")</f>
        <v>#VALUE!</v>
      </c>
      <c r="BT5" t="e">
        <f>AND('Body Composition 1'!C66,"AAAAAG39n0c=")</f>
        <v>#VALUE!</v>
      </c>
      <c r="BU5" t="e">
        <f>AND('Body Composition 1'!D66,"AAAAAG39n0g=")</f>
        <v>#VALUE!</v>
      </c>
      <c r="BV5" t="e">
        <f>AND('Body Composition 1'!E66,"AAAAAG39n0k=")</f>
        <v>#VALUE!</v>
      </c>
      <c r="BW5" t="e">
        <f>AND('Body Composition 1'!F66,"AAAAAG39n0o=")</f>
        <v>#VALUE!</v>
      </c>
      <c r="BX5" t="e">
        <f>AND('Body Composition 1'!G66,"AAAAAG39n0s=")</f>
        <v>#VALUE!</v>
      </c>
      <c r="BY5" t="e">
        <f>AND('Body Composition 1'!H66,"AAAAAG39n0w=")</f>
        <v>#VALUE!</v>
      </c>
      <c r="BZ5" t="e">
        <f>AND('Body Composition 1'!I66,"AAAAAG39n00=")</f>
        <v>#VALUE!</v>
      </c>
      <c r="CA5" t="e">
        <f>AND('Body Composition 1'!J66,"AAAAAG39n04=")</f>
        <v>#VALUE!</v>
      </c>
      <c r="CB5" t="e">
        <f>AND('Body Composition 1'!K66,"AAAAAG39n08=")</f>
        <v>#VALUE!</v>
      </c>
      <c r="CC5" t="e">
        <f>AND('Body Composition 1'!L66,"AAAAAG39n1A=")</f>
        <v>#VALUE!</v>
      </c>
      <c r="CD5" t="e">
        <f>AND('Body Composition 1'!M66,"AAAAAG39n1E=")</f>
        <v>#VALUE!</v>
      </c>
      <c r="CE5" t="e">
        <f>AND('Body Composition 1'!N66,"AAAAAG39n1I=")</f>
        <v>#VALUE!</v>
      </c>
      <c r="CF5" t="e">
        <f>AND('Body Composition 1'!O66,"AAAAAG39n1M=")</f>
        <v>#VALUE!</v>
      </c>
      <c r="CG5" t="e">
        <f>AND('Body Composition 1'!P66,"AAAAAG39n1Q=")</f>
        <v>#VALUE!</v>
      </c>
      <c r="CH5" t="e">
        <f>AND('Body Composition 1'!Q66,"AAAAAG39n1U=")</f>
        <v>#VALUE!</v>
      </c>
      <c r="CI5" t="e">
        <f>AND('Body Composition 1'!R66,"AAAAAG39n1Y=")</f>
        <v>#VALUE!</v>
      </c>
      <c r="CJ5" t="e">
        <f>AND('Body Composition 1'!S66,"AAAAAG39n1c=")</f>
        <v>#VALUE!</v>
      </c>
      <c r="CK5" t="e">
        <f>AND('Body Composition 1'!T66,"AAAAAG39n1g=")</f>
        <v>#VALUE!</v>
      </c>
      <c r="CL5" t="e">
        <f>AND('Body Composition 1'!U66,"AAAAAG39n1k=")</f>
        <v>#VALUE!</v>
      </c>
      <c r="CM5" t="e">
        <f>AND('Body Composition 1'!V66,"AAAAAG39n1o=")</f>
        <v>#VALUE!</v>
      </c>
      <c r="CN5" t="e">
        <f>AND('Body Composition 1'!W66,"AAAAAG39n1s=")</f>
        <v>#VALUE!</v>
      </c>
      <c r="CO5" t="e">
        <f>AND('Body Composition 1'!X66,"AAAAAG39n1w=")</f>
        <v>#VALUE!</v>
      </c>
      <c r="CP5" t="e">
        <f>AND('Body Composition 1'!Y66,"AAAAAG39n10=")</f>
        <v>#VALUE!</v>
      </c>
      <c r="CQ5" t="e">
        <f>AND('Body Composition 1'!Z66,"AAAAAG39n14=")</f>
        <v>#VALUE!</v>
      </c>
      <c r="CR5" t="e">
        <f>AND('Body Composition 1'!AA66,"AAAAAG39n18=")</f>
        <v>#VALUE!</v>
      </c>
      <c r="CS5">
        <f>IF('Body Composition 1'!69:69,"AAAAAG39n2A=",0)</f>
        <v>0</v>
      </c>
      <c r="CT5" t="e">
        <f>AND('Body Composition 1'!A69,"AAAAAG39n2E=")</f>
        <v>#VALUE!</v>
      </c>
      <c r="CU5" t="e">
        <f>AND('Body Composition 1'!B69,"AAAAAG39n2I=")</f>
        <v>#VALUE!</v>
      </c>
      <c r="CV5" t="e">
        <f>AND('Body Composition 1'!C69,"AAAAAG39n2M=")</f>
        <v>#VALUE!</v>
      </c>
      <c r="CW5" t="e">
        <f>AND('Body Composition 1'!D69,"AAAAAG39n2Q=")</f>
        <v>#VALUE!</v>
      </c>
      <c r="CX5" t="e">
        <f>AND('Body Composition 1'!E69,"AAAAAG39n2U=")</f>
        <v>#VALUE!</v>
      </c>
      <c r="CY5" t="e">
        <f>AND('Body Composition 1'!F69,"AAAAAG39n2Y=")</f>
        <v>#VALUE!</v>
      </c>
      <c r="CZ5" t="e">
        <f>AND('Body Composition 1'!G69,"AAAAAG39n2c=")</f>
        <v>#VALUE!</v>
      </c>
      <c r="DA5" t="e">
        <f>AND('Body Composition 1'!H69,"AAAAAG39n2g=")</f>
        <v>#VALUE!</v>
      </c>
      <c r="DB5" t="e">
        <f>AND('Body Composition 1'!I69,"AAAAAG39n2k=")</f>
        <v>#VALUE!</v>
      </c>
      <c r="DC5" t="e">
        <f>AND('Body Composition 1'!J69,"AAAAAG39n2o=")</f>
        <v>#VALUE!</v>
      </c>
      <c r="DD5" t="e">
        <f>AND('Body Composition 1'!K69,"AAAAAG39n2s=")</f>
        <v>#VALUE!</v>
      </c>
      <c r="DE5" t="e">
        <f>AND('Body Composition 1'!L69,"AAAAAG39n2w=")</f>
        <v>#VALUE!</v>
      </c>
      <c r="DF5" t="e">
        <f>AND('Body Composition 1'!M69,"AAAAAG39n20=")</f>
        <v>#VALUE!</v>
      </c>
      <c r="DG5" t="e">
        <f>AND('Body Composition 1'!N69,"AAAAAG39n24=")</f>
        <v>#VALUE!</v>
      </c>
      <c r="DH5" t="e">
        <f>AND('Body Composition 1'!O69,"AAAAAG39n28=")</f>
        <v>#VALUE!</v>
      </c>
      <c r="DI5" t="e">
        <f>AND('Body Composition 1'!P69,"AAAAAG39n3A=")</f>
        <v>#VALUE!</v>
      </c>
      <c r="DJ5" t="e">
        <f>AND('Body Composition 1'!#REF!,"AAAAAG39n3E=")</f>
        <v>#REF!</v>
      </c>
      <c r="DK5" t="e">
        <f>AND('Body Composition 1'!R69,"AAAAAG39n3I=")</f>
        <v>#VALUE!</v>
      </c>
      <c r="DL5" t="e">
        <f>AND('Body Composition 1'!S69,"AAAAAG39n3M=")</f>
        <v>#VALUE!</v>
      </c>
      <c r="DM5" t="e">
        <f>AND('Body Composition 1'!T69,"AAAAAG39n3Q=")</f>
        <v>#VALUE!</v>
      </c>
      <c r="DN5" t="e">
        <f>AND('Body Composition 1'!U69,"AAAAAG39n3U=")</f>
        <v>#VALUE!</v>
      </c>
      <c r="DO5" t="e">
        <f>AND('Body Composition 1'!V69,"AAAAAG39n3Y=")</f>
        <v>#VALUE!</v>
      </c>
      <c r="DP5" t="e">
        <f>AND('Body Composition 1'!W69,"AAAAAG39n3c=")</f>
        <v>#VALUE!</v>
      </c>
      <c r="DQ5" t="e">
        <f>AND('Body Composition 1'!X69,"AAAAAG39n3g=")</f>
        <v>#VALUE!</v>
      </c>
      <c r="DR5" t="e">
        <f>AND('Body Composition 1'!Y69,"AAAAAG39n3k=")</f>
        <v>#VALUE!</v>
      </c>
      <c r="DS5" t="e">
        <f>AND('Body Composition 1'!Z69,"AAAAAG39n3o=")</f>
        <v>#VALUE!</v>
      </c>
      <c r="DT5" t="e">
        <f>AND('Body Composition 1'!AA69,"AAAAAG39n3s=")</f>
        <v>#VALUE!</v>
      </c>
      <c r="DU5">
        <f>IF('Body Composition 1'!70:70,"AAAAAG39n3w=",0)</f>
        <v>0</v>
      </c>
      <c r="DV5" t="e">
        <f>AND('Body Composition 1'!A70,"AAAAAG39n30=")</f>
        <v>#VALUE!</v>
      </c>
      <c r="DW5" t="e">
        <f>AND('Body Composition 1'!K68,"AAAAAG39n34=")</f>
        <v>#VALUE!</v>
      </c>
      <c r="DX5" t="e">
        <f>AND('Body Composition 1'!L68,"AAAAAG39n38=")</f>
        <v>#VALUE!</v>
      </c>
      <c r="DY5" t="e">
        <f>AND('Body Composition 1'!M68,"AAAAAG39n4A=")</f>
        <v>#VALUE!</v>
      </c>
      <c r="DZ5" t="e">
        <f>AND('Body Composition 1'!N68,"AAAAAG39n4E=")</f>
        <v>#VALUE!</v>
      </c>
      <c r="EA5" t="e">
        <f>AND('Body Composition 1'!O68,"AAAAAG39n4I=")</f>
        <v>#VALUE!</v>
      </c>
      <c r="EB5" t="e">
        <f>AND('Body Composition 1'!G70,"AAAAAG39n4M=")</f>
        <v>#VALUE!</v>
      </c>
      <c r="EC5" t="e">
        <f>AND('Body Composition 1'!Q68,"AAAAAG39n4Q=")</f>
        <v>#VALUE!</v>
      </c>
      <c r="ED5" t="e">
        <f>AND('Body Composition 1'!I70,"AAAAAG39n4U=")</f>
        <v>#VALUE!</v>
      </c>
      <c r="EE5" t="e">
        <f>AND('Body Composition 1'!J70,"AAAAAG39n4Y=")</f>
        <v>#VALUE!</v>
      </c>
      <c r="EF5" t="e">
        <f>AND('Body Composition 1'!K70,"AAAAAG39n4c=")</f>
        <v>#VALUE!</v>
      </c>
      <c r="EG5" t="e">
        <f>AND('Body Composition 1'!L70,"AAAAAG39n4g=")</f>
        <v>#VALUE!</v>
      </c>
      <c r="EH5" t="e">
        <f>AND('Body Composition 1'!M70,"AAAAAG39n4k=")</f>
        <v>#VALUE!</v>
      </c>
      <c r="EI5" t="e">
        <f>AND('Body Composition 1'!N70,"AAAAAG39n4o=")</f>
        <v>#VALUE!</v>
      </c>
      <c r="EJ5" t="e">
        <f>AND('Body Composition 1'!O70,"AAAAAG39n4s=")</f>
        <v>#VALUE!</v>
      </c>
      <c r="EK5" t="e">
        <f>AND('Body Composition 1'!P70,"AAAAAG39n4w=")</f>
        <v>#VALUE!</v>
      </c>
      <c r="EL5" t="e">
        <f>AND('Body Composition 1'!Q70,"AAAAAG39n40=")</f>
        <v>#VALUE!</v>
      </c>
      <c r="EM5" t="e">
        <f>AND('Body Composition 1'!R70,"AAAAAG39n44=")</f>
        <v>#VALUE!</v>
      </c>
      <c r="EN5" t="e">
        <f>AND('Body Composition 1'!S70,"AAAAAG39n48=")</f>
        <v>#VALUE!</v>
      </c>
      <c r="EO5" t="e">
        <f>AND('Body Composition 1'!T70,"AAAAAG39n5A=")</f>
        <v>#VALUE!</v>
      </c>
      <c r="EP5" t="e">
        <f>AND('Body Composition 1'!U70,"AAAAAG39n5E=")</f>
        <v>#VALUE!</v>
      </c>
      <c r="EQ5" t="e">
        <f>AND('Body Composition 1'!V70,"AAAAAG39n5I=")</f>
        <v>#VALUE!</v>
      </c>
      <c r="ER5" t="e">
        <f>AND('Body Composition 1'!W70,"AAAAAG39n5M=")</f>
        <v>#VALUE!</v>
      </c>
      <c r="ES5" t="e">
        <f>AND('Body Composition 1'!X70,"AAAAAG39n5Q=")</f>
        <v>#VALUE!</v>
      </c>
      <c r="ET5" t="e">
        <f>AND('Body Composition 1'!Y70,"AAAAAG39n5U=")</f>
        <v>#VALUE!</v>
      </c>
      <c r="EU5" t="e">
        <f>AND('Body Composition 1'!Z70,"AAAAAG39n5Y=")</f>
        <v>#VALUE!</v>
      </c>
      <c r="EV5" t="e">
        <f>AND('Body Composition 1'!AA70,"AAAAAG39n5c=")</f>
        <v>#VALUE!</v>
      </c>
      <c r="EW5">
        <f>IF('Body Composition 1'!76:76,"AAAAAG39n5g=",0)</f>
        <v>0</v>
      </c>
      <c r="EX5" t="e">
        <f>AND('Body Composition 1'!#REF!,"AAAAAG39n5k=")</f>
        <v>#REF!</v>
      </c>
      <c r="EY5" t="e">
        <f>AND('Body Composition 1'!#REF!,"AAAAAG39n5o=")</f>
        <v>#REF!</v>
      </c>
      <c r="EZ5" t="e">
        <f>AND('Body Composition 1'!#REF!,"AAAAAG39n5s=")</f>
        <v>#REF!</v>
      </c>
      <c r="FA5" t="e">
        <f>AND('Body Composition 1'!#REF!,"AAAAAG39n5w=")</f>
        <v>#REF!</v>
      </c>
      <c r="FB5" t="e">
        <f>AND('Body Composition 1'!#REF!,"AAAAAG39n50=")</f>
        <v>#REF!</v>
      </c>
      <c r="FC5" t="e">
        <f>AND('Body Composition 1'!#REF!,"AAAAAG39n54=")</f>
        <v>#REF!</v>
      </c>
      <c r="FD5" t="e">
        <f>AND('Body Composition 1'!#REF!,"AAAAAG39n58=")</f>
        <v>#REF!</v>
      </c>
      <c r="FE5" t="e">
        <f>AND('Body Composition 1'!#REF!,"AAAAAG39n6A=")</f>
        <v>#REF!</v>
      </c>
      <c r="FF5" t="e">
        <f>AND('Body Composition 1'!#REF!,"AAAAAG39n6E=")</f>
        <v>#REF!</v>
      </c>
      <c r="FG5" t="e">
        <f>AND('Body Composition 1'!#REF!,"AAAAAG39n6I=")</f>
        <v>#REF!</v>
      </c>
      <c r="FH5" t="e">
        <f>AND('Body Composition 1'!#REF!,"AAAAAG39n6M=")</f>
        <v>#REF!</v>
      </c>
      <c r="FI5" t="e">
        <f>AND('Body Composition 1'!#REF!,"AAAAAG39n6Q=")</f>
        <v>#REF!</v>
      </c>
      <c r="FJ5" t="e">
        <f>AND('Body Composition 1'!#REF!,"AAAAAG39n6U=")</f>
        <v>#REF!</v>
      </c>
      <c r="FK5" t="e">
        <f>AND('Body Composition 1'!#REF!,"AAAAAG39n6Y=")</f>
        <v>#REF!</v>
      </c>
      <c r="FL5" t="e">
        <f>AND('Body Composition 1'!#REF!,"AAAAAG39n6c=")</f>
        <v>#REF!</v>
      </c>
      <c r="FM5" t="e">
        <f>AND('Body Composition 1'!#REF!,"AAAAAG39n6g=")</f>
        <v>#REF!</v>
      </c>
      <c r="FN5" t="e">
        <f>AND('Body Composition 1'!#REF!,"AAAAAG39n6k=")</f>
        <v>#REF!</v>
      </c>
      <c r="FO5" t="e">
        <f>AND('Body Composition 1'!#REF!,"AAAAAG39n6o=")</f>
        <v>#REF!</v>
      </c>
      <c r="FP5" t="e">
        <f>AND('Body Composition 1'!#REF!,"AAAAAG39n6s=")</f>
        <v>#REF!</v>
      </c>
      <c r="FQ5" t="e">
        <f>AND('Body Composition 1'!#REF!,"AAAAAG39n6w=")</f>
        <v>#REF!</v>
      </c>
      <c r="FR5" t="e">
        <f>AND('Body Composition 1'!U76,"AAAAAG39n60=")</f>
        <v>#VALUE!</v>
      </c>
      <c r="FS5" t="e">
        <f>AND('Body Composition 1'!V76,"AAAAAG39n64=")</f>
        <v>#VALUE!</v>
      </c>
      <c r="FT5" t="e">
        <f>AND('Body Composition 1'!W76,"AAAAAG39n68=")</f>
        <v>#VALUE!</v>
      </c>
      <c r="FU5" t="e">
        <f>AND('Body Composition 1'!X76,"AAAAAG39n7A=")</f>
        <v>#VALUE!</v>
      </c>
      <c r="FV5" t="e">
        <f>AND('Body Composition 1'!Y76,"AAAAAG39n7E=")</f>
        <v>#VALUE!</v>
      </c>
      <c r="FW5" t="e">
        <f>AND('Body Composition 1'!Z76,"AAAAAG39n7I=")</f>
        <v>#VALUE!</v>
      </c>
      <c r="FX5" t="e">
        <f>AND('Body Composition 1'!AA76,"AAAAAG39n7M=")</f>
        <v>#VALUE!</v>
      </c>
      <c r="FY5">
        <f>IF('Body Composition 1'!77:77,"AAAAAG39n7Q=",0)</f>
        <v>0</v>
      </c>
      <c r="FZ5" t="e">
        <f>AND('Body Composition 1'!A10,"AAAAAG39n7U=")</f>
        <v>#VALUE!</v>
      </c>
      <c r="GA5" t="e">
        <f>AND('Body Composition 1'!B10,"AAAAAG39n7Y=")</f>
        <v>#VALUE!</v>
      </c>
      <c r="GB5" t="e">
        <f>AND('Body Composition 1'!C10,"AAAAAG39n7c=")</f>
        <v>#VALUE!</v>
      </c>
      <c r="GC5" t="e">
        <f>AND('Body Composition 1'!D10,"AAAAAG39n7g=")</f>
        <v>#VALUE!</v>
      </c>
      <c r="GD5" t="e">
        <f>AND('Body Composition 1'!E10,"AAAAAG39n7k=")</f>
        <v>#VALUE!</v>
      </c>
      <c r="GE5" t="e">
        <f>AND('Body Composition 1'!F10,"AAAAAG39n7o=")</f>
        <v>#VALUE!</v>
      </c>
      <c r="GF5" t="e">
        <f>AND('Body Composition 1'!G10,"AAAAAG39n7s=")</f>
        <v>#VALUE!</v>
      </c>
      <c r="GG5" t="e">
        <f>AND('Body Composition 1'!H10,"AAAAAG39n7w=")</f>
        <v>#VALUE!</v>
      </c>
      <c r="GH5" t="e">
        <f>AND('Body Composition 1'!I10,"AAAAAG39n70=")</f>
        <v>#VALUE!</v>
      </c>
      <c r="GI5" t="e">
        <f>AND('Body Composition 1'!J10,"AAAAAG39n74=")</f>
        <v>#VALUE!</v>
      </c>
      <c r="GJ5" t="e">
        <f>AND('Body Composition 1'!K10,"AAAAAG39n78=")</f>
        <v>#VALUE!</v>
      </c>
      <c r="GK5" t="e">
        <f>AND('Body Composition 1'!L10,"AAAAAG39n8A=")</f>
        <v>#VALUE!</v>
      </c>
      <c r="GL5" t="e">
        <f>AND('Body Composition 1'!M10,"AAAAAG39n8E=")</f>
        <v>#VALUE!</v>
      </c>
      <c r="GM5" t="e">
        <f>AND('Body Composition 1'!N10,"AAAAAG39n8I=")</f>
        <v>#VALUE!</v>
      </c>
      <c r="GN5" t="e">
        <f>AND('Body Composition 1'!O10,"AAAAAG39n8M=")</f>
        <v>#VALUE!</v>
      </c>
      <c r="GO5" t="e">
        <f>AND('Body Composition 1'!P10,"AAAAAG39n8Q=")</f>
        <v>#VALUE!</v>
      </c>
      <c r="GP5" t="e">
        <f>AND('Body Composition 1'!Q10,"AAAAAG39n8U=")</f>
        <v>#VALUE!</v>
      </c>
      <c r="GQ5" t="e">
        <f>AND('Body Composition 1'!R10,"AAAAAG39n8Y=")</f>
        <v>#VALUE!</v>
      </c>
      <c r="GR5" t="e">
        <f>AND('Body Composition 1'!S10,"AAAAAG39n8c=")</f>
        <v>#VALUE!</v>
      </c>
      <c r="GS5" t="e">
        <f>AND('Body Composition 1'!T10,"AAAAAG39n8g=")</f>
        <v>#VALUE!</v>
      </c>
      <c r="GT5" t="e">
        <f>AND('Body Composition 1'!U77,"AAAAAG39n8k=")</f>
        <v>#VALUE!</v>
      </c>
      <c r="GU5" t="e">
        <f>AND('Body Composition 1'!V77,"AAAAAG39n8o=")</f>
        <v>#VALUE!</v>
      </c>
      <c r="GV5" t="e">
        <f>AND('Body Composition 1'!W77,"AAAAAG39n8s=")</f>
        <v>#VALUE!</v>
      </c>
      <c r="GW5" t="e">
        <f>AND('Body Composition 1'!X77,"AAAAAG39n8w=")</f>
        <v>#VALUE!</v>
      </c>
      <c r="GX5" t="e">
        <f>AND('Body Composition 1'!Y77,"AAAAAG39n80=")</f>
        <v>#VALUE!</v>
      </c>
      <c r="GY5" t="e">
        <f>AND('Body Composition 1'!Z77,"AAAAAG39n84=")</f>
        <v>#VALUE!</v>
      </c>
      <c r="GZ5" t="e">
        <f>AND('Body Composition 1'!AA77,"AAAAAG39n88=")</f>
        <v>#VALUE!</v>
      </c>
      <c r="HA5">
        <f>IF('Body Composition 1'!78:78,"AAAAAG39n9A=",0)</f>
        <v>0</v>
      </c>
      <c r="HB5" t="e">
        <f>AND('Body Composition 1'!A11,"AAAAAG39n9E=")</f>
        <v>#VALUE!</v>
      </c>
      <c r="HC5" t="e">
        <f>AND('Body Composition 1'!B11,"AAAAAG39n9I=")</f>
        <v>#VALUE!</v>
      </c>
      <c r="HD5" t="e">
        <f>AND('Body Composition 1'!C11,"AAAAAG39n9M=")</f>
        <v>#VALUE!</v>
      </c>
      <c r="HE5" t="e">
        <f>AND('Body Composition 1'!D11,"AAAAAG39n9Q=")</f>
        <v>#VALUE!</v>
      </c>
      <c r="HF5" t="e">
        <f>AND('Body Composition 1'!E11,"AAAAAG39n9U=")</f>
        <v>#VALUE!</v>
      </c>
      <c r="HG5" t="e">
        <f>AND('Body Composition 1'!F11,"AAAAAG39n9Y=")</f>
        <v>#VALUE!</v>
      </c>
      <c r="HH5" t="e">
        <f>AND('Body Composition 1'!G11,"AAAAAG39n9c=")</f>
        <v>#VALUE!</v>
      </c>
      <c r="HI5" t="e">
        <f>AND('Body Composition 1'!H11,"AAAAAG39n9g=")</f>
        <v>#VALUE!</v>
      </c>
      <c r="HJ5" t="e">
        <f>AND('Body Composition 1'!I11,"AAAAAG39n9k=")</f>
        <v>#VALUE!</v>
      </c>
      <c r="HK5" t="e">
        <f>AND('Body Composition 1'!J11,"AAAAAG39n9o=")</f>
        <v>#VALUE!</v>
      </c>
      <c r="HL5" t="e">
        <f>AND('Body Composition 1'!K11,"AAAAAG39n9s=")</f>
        <v>#VALUE!</v>
      </c>
      <c r="HM5" t="e">
        <f>AND('Body Composition 1'!L11,"AAAAAG39n9w=")</f>
        <v>#VALUE!</v>
      </c>
      <c r="HN5" t="e">
        <f>AND('Body Composition 1'!M11,"AAAAAG39n90=")</f>
        <v>#VALUE!</v>
      </c>
      <c r="HO5" t="e">
        <f>AND('Body Composition 1'!N11,"AAAAAG39n94=")</f>
        <v>#VALUE!</v>
      </c>
      <c r="HP5" t="e">
        <f>AND('Body Composition 1'!O11,"AAAAAG39n98=")</f>
        <v>#VALUE!</v>
      </c>
      <c r="HQ5" t="e">
        <f>AND('Body Composition 1'!P11,"AAAAAG39n+A=")</f>
        <v>#VALUE!</v>
      </c>
      <c r="HR5" t="e">
        <f>AND('Body Composition 1'!Q11,"AAAAAG39n+E=")</f>
        <v>#VALUE!</v>
      </c>
      <c r="HS5" t="e">
        <f>AND('Body Composition 1'!R11,"AAAAAG39n+I=")</f>
        <v>#VALUE!</v>
      </c>
      <c r="HT5" t="e">
        <f>AND('Body Composition 1'!S11,"AAAAAG39n+M=")</f>
        <v>#VALUE!</v>
      </c>
      <c r="HU5" t="e">
        <f>AND('Body Composition 1'!T11,"AAAAAG39n+Q=")</f>
        <v>#VALUE!</v>
      </c>
      <c r="HV5" t="e">
        <f>AND('Body Composition 1'!U78,"AAAAAG39n+U=")</f>
        <v>#VALUE!</v>
      </c>
      <c r="HW5" t="e">
        <f>AND('Body Composition 1'!V78,"AAAAAG39n+Y=")</f>
        <v>#VALUE!</v>
      </c>
      <c r="HX5" t="e">
        <f>AND('Body Composition 1'!W78,"AAAAAG39n+c=")</f>
        <v>#VALUE!</v>
      </c>
      <c r="HY5" t="e">
        <f>AND('Body Composition 1'!X78,"AAAAAG39n+g=")</f>
        <v>#VALUE!</v>
      </c>
      <c r="HZ5" t="e">
        <f>AND('Body Composition 1'!Y78,"AAAAAG39n+k=")</f>
        <v>#VALUE!</v>
      </c>
      <c r="IA5" t="e">
        <f>AND('Body Composition 1'!Z78,"AAAAAG39n+o=")</f>
        <v>#VALUE!</v>
      </c>
      <c r="IB5" t="e">
        <f>AND('Body Composition 1'!AA78,"AAAAAG39n+s=")</f>
        <v>#VALUE!</v>
      </c>
      <c r="IC5">
        <f>IF('Body Composition 1'!79:79,"AAAAAG39n+w=",0)</f>
        <v>0</v>
      </c>
      <c r="ID5" t="e">
        <f>AND('Body Composition 1'!A12,"AAAAAG39n+0=")</f>
        <v>#VALUE!</v>
      </c>
      <c r="IE5" t="e">
        <f>AND('Body Composition 1'!B12,"AAAAAG39n+4=")</f>
        <v>#VALUE!</v>
      </c>
      <c r="IF5" t="e">
        <f>AND('Body Composition 1'!C12,"AAAAAG39n+8=")</f>
        <v>#VALUE!</v>
      </c>
      <c r="IG5" t="e">
        <f>AND('Body Composition 1'!D12,"AAAAAG39n/A=")</f>
        <v>#VALUE!</v>
      </c>
      <c r="IH5" t="e">
        <f>AND('Body Composition 1'!E12,"AAAAAG39n/E=")</f>
        <v>#VALUE!</v>
      </c>
      <c r="II5" t="e">
        <f>AND('Body Composition 1'!F12,"AAAAAG39n/I=")</f>
        <v>#VALUE!</v>
      </c>
      <c r="IJ5" t="e">
        <f>AND('Body Composition 1'!G12,"AAAAAG39n/M=")</f>
        <v>#VALUE!</v>
      </c>
      <c r="IK5" t="e">
        <f>AND('Body Composition 1'!H12,"AAAAAG39n/Q=")</f>
        <v>#VALUE!</v>
      </c>
      <c r="IL5" t="e">
        <f>AND('Body Composition 1'!I12,"AAAAAG39n/U=")</f>
        <v>#VALUE!</v>
      </c>
      <c r="IM5" t="e">
        <f>AND('Body Composition 1'!J12,"AAAAAG39n/Y=")</f>
        <v>#VALUE!</v>
      </c>
      <c r="IN5" t="e">
        <f>AND('Body Composition 1'!K12,"AAAAAG39n/c=")</f>
        <v>#VALUE!</v>
      </c>
      <c r="IO5" t="e">
        <f>AND('Body Composition 1'!L12,"AAAAAG39n/g=")</f>
        <v>#VALUE!</v>
      </c>
      <c r="IP5" t="e">
        <f>AND('Body Composition 1'!M12,"AAAAAG39n/k=")</f>
        <v>#VALUE!</v>
      </c>
      <c r="IQ5" t="e">
        <f>AND('Body Composition 1'!N12,"AAAAAG39n/o=")</f>
        <v>#VALUE!</v>
      </c>
      <c r="IR5" t="e">
        <f>AND('Body Composition 1'!O12,"AAAAAG39n/s=")</f>
        <v>#VALUE!</v>
      </c>
      <c r="IS5" t="e">
        <f>AND('Body Composition 1'!P12,"AAAAAG39n/w=")</f>
        <v>#VALUE!</v>
      </c>
      <c r="IT5" t="e">
        <f>AND('Body Composition 1'!Q12,"AAAAAG39n/0=")</f>
        <v>#VALUE!</v>
      </c>
      <c r="IU5" t="e">
        <f>AND('Body Composition 1'!R12,"AAAAAG39n/4=")</f>
        <v>#VALUE!</v>
      </c>
      <c r="IV5" t="e">
        <f>AND('Body Composition 1'!S12,"AAAAAG39n/8=")</f>
        <v>#VALUE!</v>
      </c>
    </row>
    <row r="6" spans="1:256" x14ac:dyDescent="0.2">
      <c r="A6" t="e">
        <f>AND('Body Composition 1'!T12,"AAAAAGO+fgA=")</f>
        <v>#VALUE!</v>
      </c>
      <c r="B6" t="e">
        <f>AND('Body Composition 1'!U79,"AAAAAGO+fgE=")</f>
        <v>#VALUE!</v>
      </c>
      <c r="C6" t="e">
        <f>AND('Body Composition 1'!V79,"AAAAAGO+fgI=")</f>
        <v>#VALUE!</v>
      </c>
      <c r="D6" t="e">
        <f>AND('Body Composition 1'!W79,"AAAAAGO+fgM=")</f>
        <v>#VALUE!</v>
      </c>
      <c r="E6" t="e">
        <f>AND('Body Composition 1'!X79,"AAAAAGO+fgQ=")</f>
        <v>#VALUE!</v>
      </c>
      <c r="F6" t="e">
        <f>AND('Body Composition 1'!Y79,"AAAAAGO+fgU=")</f>
        <v>#VALUE!</v>
      </c>
      <c r="G6" t="e">
        <f>AND('Body Composition 1'!Z79,"AAAAAGO+fgY=")</f>
        <v>#VALUE!</v>
      </c>
      <c r="H6" t="e">
        <f>AND('Body Composition 1'!AA79,"AAAAAGO+fgc=")</f>
        <v>#VALUE!</v>
      </c>
      <c r="I6">
        <f>IF('Body Composition 1'!80:80,"AAAAAGO+fgg=",0)</f>
        <v>0</v>
      </c>
      <c r="J6" t="e">
        <f>AND('Body Composition 1'!A13,"AAAAAGO+fgk=")</f>
        <v>#VALUE!</v>
      </c>
      <c r="K6" t="e">
        <f>AND('Body Composition 1'!B13,"AAAAAGO+fgo=")</f>
        <v>#VALUE!</v>
      </c>
      <c r="L6" t="e">
        <f>AND('Body Composition 1'!C13,"AAAAAGO+fgs=")</f>
        <v>#VALUE!</v>
      </c>
      <c r="M6" t="e">
        <f>AND('Body Composition 1'!D13,"AAAAAGO+fgw=")</f>
        <v>#VALUE!</v>
      </c>
      <c r="N6" t="e">
        <f>AND('Body Composition 1'!E13,"AAAAAGO+fg0=")</f>
        <v>#VALUE!</v>
      </c>
      <c r="O6" t="e">
        <f>AND('Body Composition 1'!F13,"AAAAAGO+fg4=")</f>
        <v>#VALUE!</v>
      </c>
      <c r="P6" t="e">
        <f>AND('Body Composition 1'!G13,"AAAAAGO+fg8=")</f>
        <v>#VALUE!</v>
      </c>
      <c r="Q6" t="e">
        <f>AND('Body Composition 1'!H13,"AAAAAGO+fhA=")</f>
        <v>#VALUE!</v>
      </c>
      <c r="R6" t="e">
        <f>AND('Body Composition 1'!I13,"AAAAAGO+fhE=")</f>
        <v>#VALUE!</v>
      </c>
      <c r="S6" t="e">
        <f>AND('Body Composition 1'!J13,"AAAAAGO+fhI=")</f>
        <v>#VALUE!</v>
      </c>
      <c r="T6" t="e">
        <f>AND('Body Composition 1'!K13,"AAAAAGO+fhM=")</f>
        <v>#VALUE!</v>
      </c>
      <c r="U6" t="e">
        <f>AND('Body Composition 1'!L13,"AAAAAGO+fhQ=")</f>
        <v>#VALUE!</v>
      </c>
      <c r="V6" t="e">
        <f>AND('Body Composition 1'!M13,"AAAAAGO+fhU=")</f>
        <v>#VALUE!</v>
      </c>
      <c r="W6" t="e">
        <f>AND('Body Composition 1'!N13,"AAAAAGO+fhY=")</f>
        <v>#VALUE!</v>
      </c>
      <c r="X6" t="e">
        <f>AND('Body Composition 1'!O13,"AAAAAGO+fhc=")</f>
        <v>#VALUE!</v>
      </c>
      <c r="Y6" t="e">
        <f>AND('Body Composition 1'!P13,"AAAAAGO+fhg=")</f>
        <v>#VALUE!</v>
      </c>
      <c r="Z6" t="e">
        <f>AND('Body Composition 1'!Q13,"AAAAAGO+fhk=")</f>
        <v>#VALUE!</v>
      </c>
      <c r="AA6" t="e">
        <f>AND('Body Composition 1'!R13,"AAAAAGO+fho=")</f>
        <v>#VALUE!</v>
      </c>
      <c r="AB6" t="e">
        <f>AND('Body Composition 1'!S13,"AAAAAGO+fhs=")</f>
        <v>#VALUE!</v>
      </c>
      <c r="AC6" t="e">
        <f>AND('Body Composition 1'!T13,"AAAAAGO+fhw=")</f>
        <v>#VALUE!</v>
      </c>
      <c r="AD6" t="e">
        <f>AND('Body Composition 1'!U80,"AAAAAGO+fh0=")</f>
        <v>#VALUE!</v>
      </c>
      <c r="AE6" t="e">
        <f>AND('Body Composition 1'!V80,"AAAAAGO+fh4=")</f>
        <v>#VALUE!</v>
      </c>
      <c r="AF6" t="e">
        <f>AND('Body Composition 1'!W80,"AAAAAGO+fh8=")</f>
        <v>#VALUE!</v>
      </c>
      <c r="AG6" t="e">
        <f>AND('Body Composition 1'!X80,"AAAAAGO+fiA=")</f>
        <v>#VALUE!</v>
      </c>
      <c r="AH6" t="e">
        <f>AND('Body Composition 1'!Y80,"AAAAAGO+fiE=")</f>
        <v>#VALUE!</v>
      </c>
      <c r="AI6" t="e">
        <f>AND('Body Composition 1'!Z80,"AAAAAGO+fiI=")</f>
        <v>#VALUE!</v>
      </c>
      <c r="AJ6" t="e">
        <f>AND('Body Composition 1'!AA80,"AAAAAGO+fiM=")</f>
        <v>#VALUE!</v>
      </c>
      <c r="AK6">
        <f>IF('Body Composition 1'!81:81,"AAAAAGO+fiQ=",0)</f>
        <v>0</v>
      </c>
      <c r="AL6" t="e">
        <f>AND('Body Composition 1'!A14,"AAAAAGO+fiU=")</f>
        <v>#VALUE!</v>
      </c>
      <c r="AM6" t="e">
        <f>AND('Body Composition 1'!B14,"AAAAAGO+fiY=")</f>
        <v>#VALUE!</v>
      </c>
      <c r="AN6" t="e">
        <f>AND('Body Composition 1'!C14,"AAAAAGO+fic=")</f>
        <v>#VALUE!</v>
      </c>
      <c r="AO6" t="e">
        <f>AND('Body Composition 1'!D14,"AAAAAGO+fig=")</f>
        <v>#VALUE!</v>
      </c>
      <c r="AP6" t="e">
        <f>AND('Body Composition 1'!E14,"AAAAAGO+fik=")</f>
        <v>#VALUE!</v>
      </c>
      <c r="AQ6" t="e">
        <f>AND('Body Composition 1'!F14,"AAAAAGO+fio=")</f>
        <v>#VALUE!</v>
      </c>
      <c r="AR6" t="e">
        <f>AND('Body Composition 1'!G14,"AAAAAGO+fis=")</f>
        <v>#VALUE!</v>
      </c>
      <c r="AS6" t="e">
        <f>AND('Body Composition 1'!H14,"AAAAAGO+fiw=")</f>
        <v>#VALUE!</v>
      </c>
      <c r="AT6" t="e">
        <f>AND('Body Composition 1'!I14,"AAAAAGO+fi0=")</f>
        <v>#VALUE!</v>
      </c>
      <c r="AU6" t="e">
        <f>AND('Body Composition 1'!J14,"AAAAAGO+fi4=")</f>
        <v>#VALUE!</v>
      </c>
      <c r="AV6" t="e">
        <f>AND('Body Composition 1'!K14,"AAAAAGO+fi8=")</f>
        <v>#VALUE!</v>
      </c>
      <c r="AW6" t="e">
        <f>AND('Body Composition 1'!L14,"AAAAAGO+fjA=")</f>
        <v>#VALUE!</v>
      </c>
      <c r="AX6" t="e">
        <f>AND('Body Composition 1'!M14,"AAAAAGO+fjE=")</f>
        <v>#VALUE!</v>
      </c>
      <c r="AY6" t="e">
        <f>AND('Body Composition 1'!N14,"AAAAAGO+fjI=")</f>
        <v>#VALUE!</v>
      </c>
      <c r="AZ6" t="e">
        <f>AND('Body Composition 1'!O14,"AAAAAGO+fjM=")</f>
        <v>#VALUE!</v>
      </c>
      <c r="BA6" t="e">
        <f>AND('Body Composition 1'!P14,"AAAAAGO+fjQ=")</f>
        <v>#VALUE!</v>
      </c>
      <c r="BB6" t="e">
        <f>AND('Body Composition 1'!Q14,"AAAAAGO+fjU=")</f>
        <v>#VALUE!</v>
      </c>
      <c r="BC6" t="e">
        <f>AND('Body Composition 1'!R14,"AAAAAGO+fjY=")</f>
        <v>#VALUE!</v>
      </c>
      <c r="BD6" t="e">
        <f>AND('Body Composition 1'!S14,"AAAAAGO+fjc=")</f>
        <v>#VALUE!</v>
      </c>
      <c r="BE6" t="e">
        <f>AND('Body Composition 1'!T14,"AAAAAGO+fjg=")</f>
        <v>#VALUE!</v>
      </c>
      <c r="BF6" t="e">
        <f>AND('Body Composition 1'!U81,"AAAAAGO+fjk=")</f>
        <v>#VALUE!</v>
      </c>
      <c r="BG6" t="e">
        <f>AND('Body Composition 1'!V81,"AAAAAGO+fjo=")</f>
        <v>#VALUE!</v>
      </c>
      <c r="BH6" t="e">
        <f>AND('Body Composition 1'!W81,"AAAAAGO+fjs=")</f>
        <v>#VALUE!</v>
      </c>
      <c r="BI6" t="e">
        <f>AND('Body Composition 1'!X81,"AAAAAGO+fjw=")</f>
        <v>#VALUE!</v>
      </c>
      <c r="BJ6" t="e">
        <f>AND('Body Composition 1'!Y81,"AAAAAGO+fj0=")</f>
        <v>#VALUE!</v>
      </c>
      <c r="BK6" t="e">
        <f>AND('Body Composition 1'!Z81,"AAAAAGO+fj4=")</f>
        <v>#VALUE!</v>
      </c>
      <c r="BL6" t="e">
        <f>AND('Body Composition 1'!AA81,"AAAAAGO+fj8=")</f>
        <v>#VALUE!</v>
      </c>
      <c r="BM6">
        <f>IF('Body Composition 1'!82:82,"AAAAAGO+fkA=",0)</f>
        <v>0</v>
      </c>
      <c r="BN6" t="e">
        <f>AND('Body Composition 1'!A15,"AAAAAGO+fkE=")</f>
        <v>#VALUE!</v>
      </c>
      <c r="BO6" t="e">
        <f>AND('Body Composition 1'!B17,"AAAAAGO+fkI=")</f>
        <v>#VALUE!</v>
      </c>
      <c r="BP6" t="e">
        <f>AND('Body Composition 1'!C17,"AAAAAGO+fkM=")</f>
        <v>#VALUE!</v>
      </c>
      <c r="BQ6" t="e">
        <f>AND('Body Composition 1'!D17,"AAAAAGO+fkQ=")</f>
        <v>#VALUE!</v>
      </c>
      <c r="BR6" t="e">
        <f>AND('Body Composition 1'!E17,"AAAAAGO+fkU=")</f>
        <v>#VALUE!</v>
      </c>
      <c r="BS6" t="e">
        <f>AND('Body Composition 1'!F17,"AAAAAGO+fkY=")</f>
        <v>#VALUE!</v>
      </c>
      <c r="BT6" t="e">
        <f>AND('Body Composition 1'!G15,"AAAAAGO+fkc=")</f>
        <v>#VALUE!</v>
      </c>
      <c r="BU6" t="e">
        <f>AND('Body Composition 1'!H19,"AAAAAGO+fkg=")</f>
        <v>#VALUE!</v>
      </c>
      <c r="BV6" t="e">
        <f>AND('Body Composition 1'!I19,"AAAAAGO+fkk=")</f>
        <v>#VALUE!</v>
      </c>
      <c r="BW6" t="e">
        <f>AND('Body Composition 1'!J19,"AAAAAGO+fko=")</f>
        <v>#VALUE!</v>
      </c>
      <c r="BX6" t="e">
        <f>AND('Body Composition 1'!K19,"AAAAAGO+fks=")</f>
        <v>#VALUE!</v>
      </c>
      <c r="BY6" t="e">
        <f>AND('Body Composition 1'!L19,"AAAAAGO+fkw=")</f>
        <v>#VALUE!</v>
      </c>
      <c r="BZ6" t="e">
        <f>AND('Body Composition 1'!M19,"AAAAAGO+fk0=")</f>
        <v>#VALUE!</v>
      </c>
      <c r="CA6" t="e">
        <f>AND('Body Composition 1'!N19,"AAAAAGO+fk4=")</f>
        <v>#VALUE!</v>
      </c>
      <c r="CB6" t="e">
        <f>AND('Body Composition 1'!O19,"AAAAAGO+fk8=")</f>
        <v>#VALUE!</v>
      </c>
      <c r="CC6" t="e">
        <f>AND('Body Composition 1'!P19,"AAAAAGO+flA=")</f>
        <v>#VALUE!</v>
      </c>
      <c r="CD6" t="e">
        <f>AND('Body Composition 1'!Q19,"AAAAAGO+flE=")</f>
        <v>#VALUE!</v>
      </c>
      <c r="CE6" t="e">
        <f>AND('Body Composition 1'!R19,"AAAAAGO+flI=")</f>
        <v>#VALUE!</v>
      </c>
      <c r="CF6" t="e">
        <f>AND('Body Composition 1'!S15,"AAAAAGO+flM=")</f>
        <v>#VALUE!</v>
      </c>
      <c r="CG6" t="e">
        <f>AND('Body Composition 1'!T15,"AAAAAGO+flQ=")</f>
        <v>#VALUE!</v>
      </c>
      <c r="CH6" t="e">
        <f>AND('Body Composition 1'!U82,"AAAAAGO+flU=")</f>
        <v>#VALUE!</v>
      </c>
      <c r="CI6" t="e">
        <f>AND('Body Composition 1'!V82,"AAAAAGO+flY=")</f>
        <v>#VALUE!</v>
      </c>
      <c r="CJ6" t="e">
        <f>AND('Body Composition 1'!W82,"AAAAAGO+flc=")</f>
        <v>#VALUE!</v>
      </c>
      <c r="CK6" t="e">
        <f>AND('Body Composition 1'!X82,"AAAAAGO+flg=")</f>
        <v>#VALUE!</v>
      </c>
      <c r="CL6" t="e">
        <f>AND('Body Composition 1'!Y82,"AAAAAGO+flk=")</f>
        <v>#VALUE!</v>
      </c>
      <c r="CM6" t="e">
        <f>AND('Body Composition 1'!Z82,"AAAAAGO+flo=")</f>
        <v>#VALUE!</v>
      </c>
      <c r="CN6" t="e">
        <f>AND('Body Composition 1'!AA82,"AAAAAGO+fls=")</f>
        <v>#VALUE!</v>
      </c>
      <c r="CO6">
        <f>IF('Body Composition 1'!83:83,"AAAAAGO+flw=",0)</f>
        <v>0</v>
      </c>
      <c r="CP6" t="e">
        <f>AND('Body Composition 1'!A16,"AAAAAGO+fl0=")</f>
        <v>#VALUE!</v>
      </c>
      <c r="CQ6" t="e">
        <f>AND('Body Composition 1'!B16,"AAAAAGO+fl4=")</f>
        <v>#VALUE!</v>
      </c>
      <c r="CR6" t="e">
        <f>AND('Body Composition 1'!C16,"AAAAAGO+fl8=")</f>
        <v>#VALUE!</v>
      </c>
      <c r="CS6" t="e">
        <f>AND('Body Composition 1'!D16,"AAAAAGO+fmA=")</f>
        <v>#VALUE!</v>
      </c>
      <c r="CT6" t="e">
        <f>AND('Body Composition 1'!E16,"AAAAAGO+fmE=")</f>
        <v>#VALUE!</v>
      </c>
      <c r="CU6" t="e">
        <f>AND('Body Composition 1'!F16,"AAAAAGO+fmI=")</f>
        <v>#VALUE!</v>
      </c>
      <c r="CV6" t="e">
        <f>AND('Body Composition 1'!G16,"AAAAAGO+fmM=")</f>
        <v>#VALUE!</v>
      </c>
      <c r="CW6" t="e">
        <f>AND('Body Composition 1'!H16,"AAAAAGO+fmQ=")</f>
        <v>#VALUE!</v>
      </c>
      <c r="CX6" t="e">
        <f>AND('Body Composition 1'!I16,"AAAAAGO+fmU=")</f>
        <v>#VALUE!</v>
      </c>
      <c r="CY6" t="e">
        <f>AND('Body Composition 1'!J16,"AAAAAGO+fmY=")</f>
        <v>#VALUE!</v>
      </c>
      <c r="CZ6" t="e">
        <f>AND('Body Composition 1'!K16,"AAAAAGO+fmc=")</f>
        <v>#VALUE!</v>
      </c>
      <c r="DA6" t="e">
        <f>AND('Body Composition 1'!L16,"AAAAAGO+fmg=")</f>
        <v>#VALUE!</v>
      </c>
      <c r="DB6" t="e">
        <f>AND('Body Composition 1'!M16,"AAAAAGO+fmk=")</f>
        <v>#VALUE!</v>
      </c>
      <c r="DC6" t="e">
        <f>AND('Body Composition 1'!N16,"AAAAAGO+fmo=")</f>
        <v>#VALUE!</v>
      </c>
      <c r="DD6" t="e">
        <f>AND('Body Composition 1'!O16,"AAAAAGO+fms=")</f>
        <v>#VALUE!</v>
      </c>
      <c r="DE6" t="e">
        <f>AND('Body Composition 1'!P16,"AAAAAGO+fmw=")</f>
        <v>#VALUE!</v>
      </c>
      <c r="DF6" t="e">
        <f>AND('Body Composition 1'!Q16,"AAAAAGO+fm0=")</f>
        <v>#VALUE!</v>
      </c>
      <c r="DG6" t="e">
        <f>AND('Body Composition 1'!R16,"AAAAAGO+fm4=")</f>
        <v>#VALUE!</v>
      </c>
      <c r="DH6" t="e">
        <f>AND('Body Composition 1'!S16,"AAAAAGO+fm8=")</f>
        <v>#VALUE!</v>
      </c>
      <c r="DI6" t="e">
        <f>AND('Body Composition 1'!T16,"AAAAAGO+fnA=")</f>
        <v>#VALUE!</v>
      </c>
      <c r="DJ6" t="e">
        <f>AND('Body Composition 1'!U83,"AAAAAGO+fnE=")</f>
        <v>#VALUE!</v>
      </c>
      <c r="DK6" t="e">
        <f>AND('Body Composition 1'!V83,"AAAAAGO+fnI=")</f>
        <v>#VALUE!</v>
      </c>
      <c r="DL6" t="e">
        <f>AND('Body Composition 1'!W83,"AAAAAGO+fnM=")</f>
        <v>#VALUE!</v>
      </c>
      <c r="DM6" t="e">
        <f>AND('Body Composition 1'!X83,"AAAAAGO+fnQ=")</f>
        <v>#VALUE!</v>
      </c>
      <c r="DN6" t="e">
        <f>AND('Body Composition 1'!Y83,"AAAAAGO+fnU=")</f>
        <v>#VALUE!</v>
      </c>
      <c r="DO6" t="e">
        <f>AND('Body Composition 1'!Z83,"AAAAAGO+fnY=")</f>
        <v>#VALUE!</v>
      </c>
      <c r="DP6" t="e">
        <f>AND('Body Composition 1'!AA83,"AAAAAGO+fnc=")</f>
        <v>#VALUE!</v>
      </c>
      <c r="DQ6">
        <f>IF('Body Composition 1'!84:84,"AAAAAGO+fng=",0)</f>
        <v>0</v>
      </c>
      <c r="DR6" t="e">
        <f>AND('Body Composition 1'!A17,"AAAAAGO+fnk=")</f>
        <v>#VALUE!</v>
      </c>
      <c r="DS6" t="e">
        <f>AND('Body Composition 1'!#REF!,"AAAAAGO+fno=")</f>
        <v>#REF!</v>
      </c>
      <c r="DT6" t="e">
        <f>AND('Body Composition 1'!#REF!,"AAAAAGO+fns=")</f>
        <v>#REF!</v>
      </c>
      <c r="DU6" t="e">
        <f>AND('Body Composition 1'!#REF!,"AAAAAGO+fnw=")</f>
        <v>#REF!</v>
      </c>
      <c r="DV6" t="e">
        <f>AND('Body Composition 1'!#REF!,"AAAAAGO+fn0=")</f>
        <v>#REF!</v>
      </c>
      <c r="DW6" t="e">
        <f>AND('Body Composition 1'!#REF!,"AAAAAGO+fn4=")</f>
        <v>#REF!</v>
      </c>
      <c r="DX6" t="e">
        <f>AND('Body Composition 1'!G17,"AAAAAGO+fn8=")</f>
        <v>#VALUE!</v>
      </c>
      <c r="DY6" t="e">
        <f>AND('Body Composition 1'!H17,"AAAAAGO+foA=")</f>
        <v>#VALUE!</v>
      </c>
      <c r="DZ6" t="e">
        <f>AND('Body Composition 1'!I17,"AAAAAGO+foE=")</f>
        <v>#VALUE!</v>
      </c>
      <c r="EA6" t="e">
        <f>AND('Body Composition 1'!J17,"AAAAAGO+foI=")</f>
        <v>#VALUE!</v>
      </c>
      <c r="EB6" t="e">
        <f>AND('Body Composition 1'!K17,"AAAAAGO+foM=")</f>
        <v>#VALUE!</v>
      </c>
      <c r="EC6" t="e">
        <f>AND('Body Composition 1'!L17,"AAAAAGO+foQ=")</f>
        <v>#VALUE!</v>
      </c>
      <c r="ED6" t="e">
        <f>AND('Body Composition 1'!M17,"AAAAAGO+foU=")</f>
        <v>#VALUE!</v>
      </c>
      <c r="EE6" t="e">
        <f>AND('Body Composition 1'!N17,"AAAAAGO+foY=")</f>
        <v>#VALUE!</v>
      </c>
      <c r="EF6" t="e">
        <f>AND('Body Composition 1'!O17,"AAAAAGO+foc=")</f>
        <v>#VALUE!</v>
      </c>
      <c r="EG6" t="e">
        <f>AND('Body Composition 1'!P17,"AAAAAGO+fog=")</f>
        <v>#VALUE!</v>
      </c>
      <c r="EH6" t="e">
        <f>AND('Body Composition 1'!Q17,"AAAAAGO+fok=")</f>
        <v>#VALUE!</v>
      </c>
      <c r="EI6" t="e">
        <f>AND('Body Composition 1'!R17,"AAAAAGO+foo=")</f>
        <v>#VALUE!</v>
      </c>
      <c r="EJ6" t="e">
        <f>AND('Body Composition 1'!S17,"AAAAAGO+fos=")</f>
        <v>#VALUE!</v>
      </c>
      <c r="EK6" t="e">
        <f>AND('Body Composition 1'!T17,"AAAAAGO+fow=")</f>
        <v>#VALUE!</v>
      </c>
      <c r="EL6" t="e">
        <f>AND('Body Composition 1'!U84,"AAAAAGO+fo0=")</f>
        <v>#VALUE!</v>
      </c>
      <c r="EM6" t="e">
        <f>AND('Body Composition 1'!V84,"AAAAAGO+fo4=")</f>
        <v>#VALUE!</v>
      </c>
      <c r="EN6" t="e">
        <f>AND('Body Composition 1'!W84,"AAAAAGO+fo8=")</f>
        <v>#VALUE!</v>
      </c>
      <c r="EO6" t="e">
        <f>AND('Body Composition 1'!X84,"AAAAAGO+fpA=")</f>
        <v>#VALUE!</v>
      </c>
      <c r="EP6" t="e">
        <f>AND('Body Composition 1'!Y84,"AAAAAGO+fpE=")</f>
        <v>#VALUE!</v>
      </c>
      <c r="EQ6" t="e">
        <f>AND('Body Composition 1'!Z84,"AAAAAGO+fpI=")</f>
        <v>#VALUE!</v>
      </c>
      <c r="ER6" t="e">
        <f>AND('Body Composition 1'!AA84,"AAAAAGO+fpM=")</f>
        <v>#VALUE!</v>
      </c>
      <c r="ES6">
        <f>IF('Body Composition 1'!85:85,"AAAAAGO+fpQ=",0)</f>
        <v>0</v>
      </c>
      <c r="ET6" t="e">
        <f>AND('Body Composition 1'!A18,"AAAAAGO+fpU=")</f>
        <v>#VALUE!</v>
      </c>
      <c r="EU6" t="e">
        <f>AND('Body Composition 1'!B18,"AAAAAGO+fpY=")</f>
        <v>#VALUE!</v>
      </c>
      <c r="EV6" t="e">
        <f>AND('Body Composition 1'!C18,"AAAAAGO+fpc=")</f>
        <v>#VALUE!</v>
      </c>
      <c r="EW6" t="e">
        <f>AND('Body Composition 1'!D18,"AAAAAGO+fpg=")</f>
        <v>#VALUE!</v>
      </c>
      <c r="EX6" t="e">
        <f>AND('Body Composition 1'!E18,"AAAAAGO+fpk=")</f>
        <v>#VALUE!</v>
      </c>
      <c r="EY6" t="e">
        <f>AND('Body Composition 1'!F18,"AAAAAGO+fpo=")</f>
        <v>#VALUE!</v>
      </c>
      <c r="EZ6" t="e">
        <f>AND('Body Composition 1'!G18,"AAAAAGO+fps=")</f>
        <v>#VALUE!</v>
      </c>
      <c r="FA6" t="e">
        <f>AND('Body Composition 1'!H20,"AAAAAGO+fpw=")</f>
        <v>#VALUE!</v>
      </c>
      <c r="FB6" t="e">
        <f>AND('Body Composition 1'!I20,"AAAAAGO+fp0=")</f>
        <v>#VALUE!</v>
      </c>
      <c r="FC6" t="e">
        <f>AND('Body Composition 1'!J20,"AAAAAGO+fp4=")</f>
        <v>#VALUE!</v>
      </c>
      <c r="FD6" t="e">
        <f>AND('Body Composition 1'!K20,"AAAAAGO+fp8=")</f>
        <v>#VALUE!</v>
      </c>
      <c r="FE6" t="e">
        <f>AND('Body Composition 1'!L20,"AAAAAGO+fqA=")</f>
        <v>#VALUE!</v>
      </c>
      <c r="FF6" t="e">
        <f>AND('Body Composition 1'!M20,"AAAAAGO+fqE=")</f>
        <v>#VALUE!</v>
      </c>
      <c r="FG6" t="e">
        <f>AND('Body Composition 1'!N20,"AAAAAGO+fqI=")</f>
        <v>#VALUE!</v>
      </c>
      <c r="FH6" t="e">
        <f>AND('Body Composition 1'!O20,"AAAAAGO+fqM=")</f>
        <v>#VALUE!</v>
      </c>
      <c r="FI6" t="e">
        <f>AND('Body Composition 1'!P18,"AAAAAGO+fqQ=")</f>
        <v>#VALUE!</v>
      </c>
      <c r="FJ6" t="e">
        <f>AND('Body Composition 1'!Q18,"AAAAAGO+fqU=")</f>
        <v>#VALUE!</v>
      </c>
      <c r="FK6" t="e">
        <f>AND('Body Composition 1'!R18,"AAAAAGO+fqY=")</f>
        <v>#VALUE!</v>
      </c>
      <c r="FL6" t="e">
        <f>AND('Body Composition 1'!S18,"AAAAAGO+fqc=")</f>
        <v>#VALUE!</v>
      </c>
      <c r="FM6" t="e">
        <f>AND('Body Composition 1'!T18,"AAAAAGO+fqg=")</f>
        <v>#VALUE!</v>
      </c>
      <c r="FN6" t="e">
        <f>AND('Body Composition 1'!U85,"AAAAAGO+fqk=")</f>
        <v>#VALUE!</v>
      </c>
      <c r="FO6" t="e">
        <f>AND('Body Composition 1'!V85,"AAAAAGO+fqo=")</f>
        <v>#VALUE!</v>
      </c>
      <c r="FP6" t="e">
        <f>AND('Body Composition 1'!W85,"AAAAAGO+fqs=")</f>
        <v>#VALUE!</v>
      </c>
      <c r="FQ6" t="e">
        <f>AND('Body Composition 1'!X85,"AAAAAGO+fqw=")</f>
        <v>#VALUE!</v>
      </c>
      <c r="FR6" t="e">
        <f>AND('Body Composition 1'!Y85,"AAAAAGO+fq0=")</f>
        <v>#VALUE!</v>
      </c>
      <c r="FS6" t="e">
        <f>AND('Body Composition 1'!Z85,"AAAAAGO+fq4=")</f>
        <v>#VALUE!</v>
      </c>
      <c r="FT6" t="e">
        <f>AND('Body Composition 1'!AA85,"AAAAAGO+fq8=")</f>
        <v>#VALUE!</v>
      </c>
      <c r="FU6">
        <f>IF('Body Composition 1'!86:86,"AAAAAGO+frA=",0)</f>
        <v>0</v>
      </c>
      <c r="FV6" t="e">
        <f>AND('Body Composition 1'!A19,"AAAAAGO+frE=")</f>
        <v>#VALUE!</v>
      </c>
      <c r="FW6" t="e">
        <f>AND('Body Composition 1'!B19,"AAAAAGO+frI=")</f>
        <v>#VALUE!</v>
      </c>
      <c r="FX6">
        <f>IF('Body Composition 1'!87:87,"AAAAAGO+frM=",0)</f>
        <v>0</v>
      </c>
      <c r="FY6" t="e">
        <f>AND('Body Composition 1'!A20,"AAAAAGO+frQ=")</f>
        <v>#VALUE!</v>
      </c>
      <c r="FZ6" t="e">
        <f>AND('Body Composition 1'!B20,"AAAAAGO+frU=")</f>
        <v>#VALUE!</v>
      </c>
      <c r="GA6">
        <f>IF('Body Composition 1'!88:88,"AAAAAGO+frY=",0)</f>
        <v>0</v>
      </c>
      <c r="GB6" t="e">
        <f>AND('Body Composition 1'!A21,"AAAAAGO+frc=")</f>
        <v>#VALUE!</v>
      </c>
      <c r="GC6" t="e">
        <f>AND('Body Composition 1'!B21,"AAAAAGO+frg=")</f>
        <v>#VALUE!</v>
      </c>
      <c r="GD6">
        <f>IF('Body Composition 1'!89:89,"AAAAAGO+frk=",0)</f>
        <v>0</v>
      </c>
      <c r="GE6" t="e">
        <f>AND('Body Composition 1'!A89,"AAAAAGO+fro=")</f>
        <v>#VALUE!</v>
      </c>
      <c r="GF6" t="e">
        <f>AND('Body Composition 1'!B89,"AAAAAGO+frs=")</f>
        <v>#VALUE!</v>
      </c>
      <c r="GG6" t="e">
        <f>IF('Body Composition 1'!#REF!,"AAAAAGO+frw=",0)</f>
        <v>#REF!</v>
      </c>
      <c r="GH6" t="e">
        <f>AND('Body Composition 1'!#REF!,"AAAAAGO+fr0=")</f>
        <v>#REF!</v>
      </c>
      <c r="GI6" t="e">
        <f>AND('Body Composition 1'!#REF!,"AAAAAGO+fr4=")</f>
        <v>#REF!</v>
      </c>
      <c r="GJ6" t="e">
        <f>IF('Body Composition 1'!#REF!,"AAAAAGO+fr8=",0)</f>
        <v>#REF!</v>
      </c>
      <c r="GK6" t="e">
        <f>AND('Body Composition 1'!#REF!,"AAAAAGO+fsA=")</f>
        <v>#REF!</v>
      </c>
      <c r="GL6" t="e">
        <f>AND('Body Composition 1'!#REF!,"AAAAAGO+fsE=")</f>
        <v>#REF!</v>
      </c>
      <c r="GM6" t="e">
        <f>IF('Body Composition 1'!#REF!,"AAAAAGO+fsI=",0)</f>
        <v>#REF!</v>
      </c>
      <c r="GN6" t="e">
        <f>AND('Body Composition 1'!#REF!,"AAAAAGO+fsM=")</f>
        <v>#REF!</v>
      </c>
      <c r="GO6" t="e">
        <f>AND('Body Composition 1'!#REF!,"AAAAAGO+fsQ=")</f>
        <v>#REF!</v>
      </c>
      <c r="GP6" t="e">
        <f>IF('Body Composition 1'!#REF!,"AAAAAGO+fsU=",0)</f>
        <v>#REF!</v>
      </c>
      <c r="GQ6" t="e">
        <f>AND('Body Composition 1'!#REF!,"AAAAAGO+fsY=")</f>
        <v>#REF!</v>
      </c>
      <c r="GR6" t="e">
        <f>AND('Body Composition 1'!#REF!,"AAAAAGO+fsc=")</f>
        <v>#REF!</v>
      </c>
      <c r="GS6" t="e">
        <f>IF('Body Composition 1'!#REF!,"AAAAAGO+fsg=",0)</f>
        <v>#REF!</v>
      </c>
      <c r="GT6" t="e">
        <f>AND('Body Composition 1'!#REF!,"AAAAAGO+fsk=")</f>
        <v>#REF!</v>
      </c>
      <c r="GU6" t="e">
        <f>AND('Body Composition 1'!#REF!,"AAAAAGO+fso=")</f>
        <v>#REF!</v>
      </c>
      <c r="GV6">
        <f>IF('Body Composition 1'!A:A,"AAAAAGO+fss=",0)</f>
        <v>0</v>
      </c>
      <c r="GW6" t="e">
        <f>IF('Body Composition 1'!B:B,"AAAAAGO+fsw=",0)</f>
        <v>#VALUE!</v>
      </c>
      <c r="GX6">
        <f>IF('Body Composition 1'!C:C,"AAAAAGO+fs0=",0)</f>
        <v>0</v>
      </c>
      <c r="GY6">
        <f>IF('Body Composition 1'!D:D,"AAAAAGO+fs4=",0)</f>
        <v>0</v>
      </c>
      <c r="GZ6">
        <f>IF('Body Composition 1'!E:E,"AAAAAGO+fs8=",0)</f>
        <v>0</v>
      </c>
      <c r="HA6" t="e">
        <f>IF('Body Composition 1'!F:F,"AAAAAGO+ftA=",0)</f>
        <v>#VALUE!</v>
      </c>
      <c r="HB6">
        <f>IF('Body Composition 1'!G:G,"AAAAAGO+ftE=",0)</f>
        <v>0</v>
      </c>
      <c r="HC6" t="e">
        <f>IF('Body Composition 1'!H:H,"AAAAAGO+ftI=",0)</f>
        <v>#VALUE!</v>
      </c>
      <c r="HD6">
        <f>IF('Body Composition 1'!I:I,"AAAAAGO+ftM=",0)</f>
        <v>0</v>
      </c>
      <c r="HE6">
        <f>IF('Body Composition 1'!J:J,"AAAAAGO+ftQ=",0)</f>
        <v>0</v>
      </c>
      <c r="HF6">
        <f>IF('Body Composition 1'!K:K,"AAAAAGO+ftU=",0)</f>
        <v>0</v>
      </c>
      <c r="HG6" t="e">
        <f>IF('Body Composition 1'!L:L,"AAAAAGO+ftY=",0)</f>
        <v>#VALUE!</v>
      </c>
      <c r="HH6">
        <f>IF('Body Composition 1'!M:M,"AAAAAGO+ftc=",0)</f>
        <v>0</v>
      </c>
      <c r="HI6">
        <f>IF('Body Composition 1'!N:N,"AAAAAGO+ftg=",0)</f>
        <v>0</v>
      </c>
      <c r="HJ6">
        <f>IF('Body Composition 1'!O:O,"AAAAAGO+ftk=",0)</f>
        <v>0</v>
      </c>
      <c r="HK6">
        <f>IF('Body Composition 1'!P:P,"AAAAAGO+fto=",0)</f>
        <v>0</v>
      </c>
      <c r="HL6">
        <f>IF('Body Composition 1'!Q:Q,"AAAAAGO+fts=",0)</f>
        <v>0</v>
      </c>
      <c r="HM6">
        <f>IF('Body Composition 1'!R:R,"AAAAAGO+ftw=",0)</f>
        <v>0</v>
      </c>
      <c r="HN6">
        <f>IF('Body Composition 1'!S:S,"AAAAAGO+ft0=",0)</f>
        <v>0</v>
      </c>
      <c r="HO6">
        <f>IF('Body Composition 1'!T:T,"AAAAAGO+ft4=",0)</f>
        <v>0</v>
      </c>
      <c r="HP6">
        <f>IF('Body Composition 1'!U:U,"AAAAAGO+ft8=",0)</f>
        <v>0</v>
      </c>
      <c r="HQ6">
        <f>IF('Body Composition 1'!V:V,"AAAAAGO+fuA=",0)</f>
        <v>0</v>
      </c>
      <c r="HR6">
        <f>IF('Body Composition 1'!W:W,"AAAAAGO+fuE=",0)</f>
        <v>0</v>
      </c>
      <c r="HS6">
        <f>IF('Body Composition 1'!X:X,"AAAAAGO+fuI=",0)</f>
        <v>0</v>
      </c>
      <c r="HT6">
        <f>IF('Body Composition 1'!Y:Y,"AAAAAGO+fuM=",0)</f>
        <v>0</v>
      </c>
      <c r="HU6">
        <f>IF('Body Composition 1'!Z:Z,"AAAAAGO+fuQ=",0)</f>
        <v>0</v>
      </c>
      <c r="HV6">
        <f>IF('Body Composition 1'!AA:AA,"AAAAAGO+fuU=",0)</f>
        <v>0</v>
      </c>
      <c r="HW6" s="23" t="s">
        <v>30</v>
      </c>
      <c r="HX6" t="s">
        <v>31</v>
      </c>
      <c r="HY6" t="e">
        <f>IF("N",'Body Composition 1'!_xlnm.Print_Area,"AAAAAGO+fug=")</f>
        <v>#VALUE!</v>
      </c>
    </row>
  </sheetData>
  <sheetCalcPr fullCalcOnLoa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Body Composition 1</vt:lpstr>
      <vt:lpstr>Body composition 2</vt:lpstr>
      <vt:lpstr>Body composition 3</vt:lpstr>
      <vt:lpstr>Activity Multiplier</vt:lpstr>
      <vt:lpstr>Multiplier</vt:lpstr>
      <vt:lpstr>'Body Composition 1'!Print_Area</vt:lpstr>
      <vt:lpstr>'Body composition 2'!Print_Area</vt:lpstr>
      <vt:lpstr>'Body composition 3'!Print_Area</vt:lpstr>
    </vt:vector>
  </TitlesOfParts>
  <Company>- ETH0 -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Thomas</dc:creator>
  <cp:lastModifiedBy>Thomas, Graeme</cp:lastModifiedBy>
  <cp:lastPrinted>2016-02-01T19:41:34Z</cp:lastPrinted>
  <dcterms:created xsi:type="dcterms:W3CDTF">2005-12-08T03:41:10Z</dcterms:created>
  <dcterms:modified xsi:type="dcterms:W3CDTF">2016-02-01T19:58:13Z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1uDN8fwD7x3T0b4ur5grRlWolnjMMtlb-0GSonR1k34c</vt:lpwstr>
  </property>
  <property fmtid="{D5CDD505-2E9C-101B-9397-08002B2CF9AE}" pid="4" name="Google.Documents.RevisionId">
    <vt:lpwstr>12153875531241951826</vt:lpwstr>
  </property>
  <property fmtid="{D5CDD505-2E9C-101B-9397-08002B2CF9AE}" pid="5" name="Google.Documents.PluginVersion">
    <vt:lpwstr>2.0.2026.3768</vt:lpwstr>
  </property>
  <property fmtid="{D5CDD505-2E9C-101B-9397-08002B2CF9AE}" pid="6" name="Google.Documents.MergeIncapabilityFlags">
    <vt:i4>0</vt:i4>
  </property>
</Properties>
</file>